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360" windowWidth="11070" windowHeight="7200"/>
  </bookViews>
  <sheets>
    <sheet name="Greenhouse 1" sheetId="1" r:id="rId1"/>
  </sheets>
  <definedNames>
    <definedName name="CycleTime">'Greenhouse 1'!$F$13</definedName>
    <definedName name="Germination">'Greenhouse 1'!$G$13</definedName>
    <definedName name="Pack_Percentage" comment="percentage of whole weight harvested that is actually saleable ">'Greenhouse 1'!$B$13</definedName>
    <definedName name="PlantsInSprouting">'Greenhouse 1'!$A$25</definedName>
    <definedName name="PlantsPerSqFt">'Greenhouse 1'!$D$13</definedName>
    <definedName name="_xlnm.Print_Area" localSheetId="0">'Greenhouse 1'!$A$1:$O$122</definedName>
    <definedName name="ProdPerHole">'Greenhouse 1'!$E$13</definedName>
    <definedName name="RaftAreaSf" comment="Raft Area of the System">'Greenhouse 1'!$C$13</definedName>
    <definedName name="SproutCull">'Greenhouse 1'!$I$13</definedName>
    <definedName name="SproutingCycleTime">'Greenhouse 1'!$H$13</definedName>
    <definedName name="TotalPlantSpaces">'Greenhouse 1'!$D$10</definedName>
    <definedName name="TransferCull">'Greenhouse 1'!$J$13</definedName>
    <definedName name="WeeksofProd">'Greenhouse 1'!$A$13</definedName>
  </definedNames>
  <calcPr calcId="124519"/>
</workbook>
</file>

<file path=xl/calcChain.xml><?xml version="1.0" encoding="utf-8"?>
<calcChain xmlns="http://schemas.openxmlformats.org/spreadsheetml/2006/main">
  <c r="E42" i="1"/>
  <c r="G64"/>
  <c r="B6"/>
  <c r="C10" l="1"/>
  <c r="B8"/>
  <c r="B10" s="1"/>
  <c r="C8"/>
  <c r="D8" s="1"/>
  <c r="C6"/>
  <c r="C13" l="1"/>
  <c r="F65"/>
  <c r="G65" s="1"/>
  <c r="C67"/>
  <c r="B65"/>
  <c r="C66" s="1"/>
  <c r="F66" s="1"/>
  <c r="A25"/>
  <c r="A27" s="1"/>
  <c r="G121"/>
  <c r="H121" s="1"/>
  <c r="I121" s="1"/>
  <c r="J121" s="1"/>
  <c r="K121" s="1"/>
  <c r="L121" s="1"/>
  <c r="M121" s="1"/>
  <c r="N121" s="1"/>
  <c r="O121" s="1"/>
  <c r="G116"/>
  <c r="H116" s="1"/>
  <c r="I116" s="1"/>
  <c r="J116" s="1"/>
  <c r="K116" s="1"/>
  <c r="L116" s="1"/>
  <c r="M116" s="1"/>
  <c r="N116" s="1"/>
  <c r="O116" s="1"/>
  <c r="G90"/>
  <c r="H90" s="1"/>
  <c r="I90" s="1"/>
  <c r="J90" s="1"/>
  <c r="K90" s="1"/>
  <c r="L90" s="1"/>
  <c r="M90" s="1"/>
  <c r="N90" s="1"/>
  <c r="O90" s="1"/>
  <c r="F82"/>
  <c r="G82" s="1"/>
  <c r="H82" s="1"/>
  <c r="I82" s="1"/>
  <c r="J82" s="1"/>
  <c r="K82" s="1"/>
  <c r="L82" s="1"/>
  <c r="M82" s="1"/>
  <c r="N82" s="1"/>
  <c r="O82" s="1"/>
  <c r="G81"/>
  <c r="H81" s="1"/>
  <c r="I81" s="1"/>
  <c r="J81" s="1"/>
  <c r="K81" s="1"/>
  <c r="L81" s="1"/>
  <c r="M81" s="1"/>
  <c r="N81" s="1"/>
  <c r="O81" s="1"/>
  <c r="G80"/>
  <c r="H80" s="1"/>
  <c r="I80" s="1"/>
  <c r="J80" s="1"/>
  <c r="K80" s="1"/>
  <c r="L80" s="1"/>
  <c r="M80" s="1"/>
  <c r="N80" s="1"/>
  <c r="O80" s="1"/>
  <c r="G78"/>
  <c r="H78" s="1"/>
  <c r="I78" s="1"/>
  <c r="J78" s="1"/>
  <c r="K78" s="1"/>
  <c r="L78" s="1"/>
  <c r="M78" s="1"/>
  <c r="N78" s="1"/>
  <c r="O78" s="1"/>
  <c r="G77"/>
  <c r="H77" s="1"/>
  <c r="I77" s="1"/>
  <c r="J77" s="1"/>
  <c r="K77" s="1"/>
  <c r="L77" s="1"/>
  <c r="M77" s="1"/>
  <c r="N77" s="1"/>
  <c r="O77" s="1"/>
  <c r="G76"/>
  <c r="H76" s="1"/>
  <c r="I76" s="1"/>
  <c r="J76" s="1"/>
  <c r="K76" s="1"/>
  <c r="L76" s="1"/>
  <c r="M76" s="1"/>
  <c r="N76" s="1"/>
  <c r="O76" s="1"/>
  <c r="G75"/>
  <c r="H75" s="1"/>
  <c r="I75" s="1"/>
  <c r="J75" s="1"/>
  <c r="K75" s="1"/>
  <c r="L75" s="1"/>
  <c r="M75" s="1"/>
  <c r="N75" s="1"/>
  <c r="O75" s="1"/>
  <c r="F74"/>
  <c r="G74" s="1"/>
  <c r="H74" s="1"/>
  <c r="I74" s="1"/>
  <c r="J74" s="1"/>
  <c r="K74" s="1"/>
  <c r="L74" s="1"/>
  <c r="M74" s="1"/>
  <c r="N74" s="1"/>
  <c r="O74" s="1"/>
  <c r="F71"/>
  <c r="G71" s="1"/>
  <c r="H71" s="1"/>
  <c r="I71" s="1"/>
  <c r="J71" s="1"/>
  <c r="K71" s="1"/>
  <c r="L71" s="1"/>
  <c r="M71" s="1"/>
  <c r="N71" s="1"/>
  <c r="O71" s="1"/>
  <c r="G70"/>
  <c r="H70" s="1"/>
  <c r="I70" s="1"/>
  <c r="J70" s="1"/>
  <c r="K70" s="1"/>
  <c r="L70" s="1"/>
  <c r="M70" s="1"/>
  <c r="N70" s="1"/>
  <c r="O70" s="1"/>
  <c r="G69"/>
  <c r="H69" s="1"/>
  <c r="I69" s="1"/>
  <c r="J69" s="1"/>
  <c r="K69" s="1"/>
  <c r="L69" s="1"/>
  <c r="M69" s="1"/>
  <c r="N69" s="1"/>
  <c r="O69" s="1"/>
  <c r="G68"/>
  <c r="H68" s="1"/>
  <c r="I68" s="1"/>
  <c r="J68" s="1"/>
  <c r="K68" s="1"/>
  <c r="L68" s="1"/>
  <c r="M68" s="1"/>
  <c r="N68" s="1"/>
  <c r="O68" s="1"/>
  <c r="F67"/>
  <c r="G67" s="1"/>
  <c r="H67" s="1"/>
  <c r="I67" s="1"/>
  <c r="J67" s="1"/>
  <c r="K67" s="1"/>
  <c r="L67" s="1"/>
  <c r="M67" s="1"/>
  <c r="N67" s="1"/>
  <c r="O67" s="1"/>
  <c r="H65"/>
  <c r="I65" s="1"/>
  <c r="J65" s="1"/>
  <c r="K65" s="1"/>
  <c r="L65" s="1"/>
  <c r="M65" s="1"/>
  <c r="N65" s="1"/>
  <c r="O65" s="1"/>
  <c r="H64"/>
  <c r="I64" s="1"/>
  <c r="J64" s="1"/>
  <c r="K64" s="1"/>
  <c r="L64" s="1"/>
  <c r="M64" s="1"/>
  <c r="N64" s="1"/>
  <c r="O64" s="1"/>
  <c r="G62"/>
  <c r="H62" s="1"/>
  <c r="I62" s="1"/>
  <c r="J62" s="1"/>
  <c r="K62" s="1"/>
  <c r="L62" s="1"/>
  <c r="M62" s="1"/>
  <c r="N62" s="1"/>
  <c r="O62" s="1"/>
  <c r="E57"/>
  <c r="B35"/>
  <c r="F35" s="1"/>
  <c r="A23"/>
  <c r="F17"/>
  <c r="G17" s="1"/>
  <c r="H17" s="1"/>
  <c r="I17" s="1"/>
  <c r="J17" s="1"/>
  <c r="K17" s="1"/>
  <c r="L17" s="1"/>
  <c r="M17" s="1"/>
  <c r="N17" s="1"/>
  <c r="O17" s="1"/>
  <c r="G14"/>
  <c r="H14" s="1"/>
  <c r="I14" s="1"/>
  <c r="J14" s="1"/>
  <c r="K14" s="1"/>
  <c r="L14" s="1"/>
  <c r="M14" s="1"/>
  <c r="N14" s="1"/>
  <c r="O14" s="1"/>
  <c r="D6"/>
  <c r="D10" s="1"/>
  <c r="H66" l="1"/>
  <c r="I66" s="1"/>
  <c r="J66" s="1"/>
  <c r="K66" s="1"/>
  <c r="L66" s="1"/>
  <c r="M66" s="1"/>
  <c r="N66" s="1"/>
  <c r="O66" s="1"/>
  <c r="G66"/>
  <c r="F27"/>
  <c r="F28"/>
  <c r="F26"/>
  <c r="F24"/>
  <c r="F23"/>
  <c r="F25"/>
  <c r="F29"/>
  <c r="B16"/>
  <c r="E33" s="1"/>
  <c r="P17"/>
  <c r="A29"/>
  <c r="E35"/>
  <c r="E44"/>
  <c r="B36"/>
  <c r="E36" s="1"/>
  <c r="E48" l="1"/>
  <c r="B92" s="1"/>
  <c r="E58" l="1"/>
  <c r="E122" s="1"/>
  <c r="O93"/>
  <c r="O106" s="1"/>
  <c r="M93"/>
  <c r="M106" s="1"/>
  <c r="K93"/>
  <c r="K106" s="1"/>
  <c r="I93"/>
  <c r="I106" s="1"/>
  <c r="G93"/>
  <c r="G106" s="1"/>
  <c r="N93"/>
  <c r="N106" s="1"/>
  <c r="L93"/>
  <c r="L106" s="1"/>
  <c r="J93"/>
  <c r="J106" s="1"/>
  <c r="H93"/>
  <c r="H106" s="1"/>
  <c r="F93"/>
  <c r="F106" s="1"/>
  <c r="L125" l="1"/>
  <c r="J125"/>
  <c r="H125"/>
  <c r="F125"/>
  <c r="K124"/>
  <c r="K95" s="1"/>
  <c r="I124"/>
  <c r="I95" s="1"/>
  <c r="G124"/>
  <c r="G95" s="1"/>
  <c r="L123"/>
  <c r="J123"/>
  <c r="H123"/>
  <c r="F123"/>
  <c r="K125"/>
  <c r="I125"/>
  <c r="G125"/>
  <c r="L124"/>
  <c r="L95" s="1"/>
  <c r="J124"/>
  <c r="J95" s="1"/>
  <c r="H124"/>
  <c r="H95" s="1"/>
  <c r="F124"/>
  <c r="F95" s="1"/>
  <c r="K123"/>
  <c r="I123"/>
  <c r="G123"/>
  <c r="F117" l="1"/>
  <c r="E32"/>
  <c r="B60"/>
  <c r="F16"/>
  <c r="B79"/>
  <c r="F79" s="1"/>
  <c r="A16"/>
  <c r="F73" s="1"/>
  <c r="F18" l="1"/>
  <c r="G18" s="1"/>
  <c r="F72"/>
  <c r="F83" s="1"/>
  <c r="G73"/>
  <c r="H73" s="1"/>
  <c r="I73" s="1"/>
  <c r="J73" s="1"/>
  <c r="K73" s="1"/>
  <c r="L73" s="1"/>
  <c r="M73" s="1"/>
  <c r="N73" s="1"/>
  <c r="O73" s="1"/>
  <c r="G79"/>
  <c r="H79" s="1"/>
  <c r="I79" s="1"/>
  <c r="J79" s="1"/>
  <c r="K79" s="1"/>
  <c r="L79" s="1"/>
  <c r="M79" s="1"/>
  <c r="N79" s="1"/>
  <c r="O79" s="1"/>
  <c r="G16"/>
  <c r="F19"/>
  <c r="F20"/>
  <c r="G72" l="1"/>
  <c r="G83" s="1"/>
  <c r="G84" s="1"/>
  <c r="G92" s="1"/>
  <c r="E64"/>
  <c r="E74"/>
  <c r="E70"/>
  <c r="E77"/>
  <c r="E71"/>
  <c r="E78"/>
  <c r="E65"/>
  <c r="E83"/>
  <c r="E75"/>
  <c r="E66"/>
  <c r="E68"/>
  <c r="E80"/>
  <c r="E82"/>
  <c r="E76"/>
  <c r="E81"/>
  <c r="E67"/>
  <c r="E69"/>
  <c r="F84"/>
  <c r="F92" s="1"/>
  <c r="H18"/>
  <c r="G20"/>
  <c r="G91" s="1"/>
  <c r="G98" s="1"/>
  <c r="F91"/>
  <c r="F96"/>
  <c r="H72"/>
  <c r="E79"/>
  <c r="E73"/>
  <c r="H16"/>
  <c r="G19"/>
  <c r="G96" s="1"/>
  <c r="E72"/>
  <c r="F98" l="1"/>
  <c r="H19"/>
  <c r="H96" s="1"/>
  <c r="I16"/>
  <c r="H83"/>
  <c r="H84" s="1"/>
  <c r="H92" s="1"/>
  <c r="I72"/>
  <c r="G104"/>
  <c r="G105" s="1"/>
  <c r="G112" s="1"/>
  <c r="F97"/>
  <c r="H20"/>
  <c r="H91" s="1"/>
  <c r="I18"/>
  <c r="G97"/>
  <c r="H97" l="1"/>
  <c r="H98"/>
  <c r="H104" s="1"/>
  <c r="H105" s="1"/>
  <c r="H112" s="1"/>
  <c r="I20"/>
  <c r="J18"/>
  <c r="G101"/>
  <c r="G102" s="1"/>
  <c r="G109" s="1"/>
  <c r="F101"/>
  <c r="F102" s="1"/>
  <c r="F109" s="1"/>
  <c r="F104"/>
  <c r="F105" s="1"/>
  <c r="F112" s="1"/>
  <c r="H101"/>
  <c r="H102" s="1"/>
  <c r="H109" s="1"/>
  <c r="I83"/>
  <c r="I84" s="1"/>
  <c r="I92" s="1"/>
  <c r="J72"/>
  <c r="I19"/>
  <c r="J16"/>
  <c r="I96" l="1"/>
  <c r="J19"/>
  <c r="J96" s="1"/>
  <c r="K16"/>
  <c r="J83"/>
  <c r="J84" s="1"/>
  <c r="J92" s="1"/>
  <c r="K72"/>
  <c r="I91"/>
  <c r="J20"/>
  <c r="J91" s="1"/>
  <c r="K18"/>
  <c r="I97"/>
  <c r="J97" l="1"/>
  <c r="J101" s="1"/>
  <c r="J102" s="1"/>
  <c r="J109" s="1"/>
  <c r="J98"/>
  <c r="J104" s="1"/>
  <c r="J105" s="1"/>
  <c r="J112" s="1"/>
  <c r="I101"/>
  <c r="I102" s="1"/>
  <c r="I109" s="1"/>
  <c r="L18"/>
  <c r="K20"/>
  <c r="K91" s="1"/>
  <c r="K83"/>
  <c r="K84" s="1"/>
  <c r="K92" s="1"/>
  <c r="L72"/>
  <c r="K19"/>
  <c r="L16"/>
  <c r="I98"/>
  <c r="K96" l="1"/>
  <c r="K97" s="1"/>
  <c r="L20"/>
  <c r="M18"/>
  <c r="I104"/>
  <c r="I105" s="1"/>
  <c r="I112" s="1"/>
  <c r="L19"/>
  <c r="L96" s="1"/>
  <c r="M16"/>
  <c r="L83"/>
  <c r="L84" s="1"/>
  <c r="L92" s="1"/>
  <c r="L97" s="1"/>
  <c r="M72"/>
  <c r="K98"/>
  <c r="K104" l="1"/>
  <c r="K105" s="1"/>
  <c r="K112" s="1"/>
  <c r="M83"/>
  <c r="M84" s="1"/>
  <c r="M92" s="1"/>
  <c r="N72"/>
  <c r="N16"/>
  <c r="M19"/>
  <c r="M96" s="1"/>
  <c r="K101"/>
  <c r="K102" s="1"/>
  <c r="K109" s="1"/>
  <c r="L91"/>
  <c r="L101"/>
  <c r="L102" s="1"/>
  <c r="L109" s="1"/>
  <c r="M20"/>
  <c r="M91" s="1"/>
  <c r="N18"/>
  <c r="M98" l="1"/>
  <c r="M104" s="1"/>
  <c r="M105" s="1"/>
  <c r="M112" s="1"/>
  <c r="M97"/>
  <c r="M101" s="1"/>
  <c r="M102" s="1"/>
  <c r="M109" s="1"/>
  <c r="L98"/>
  <c r="N19"/>
  <c r="N96" s="1"/>
  <c r="O16"/>
  <c r="O18"/>
  <c r="N20"/>
  <c r="N91" s="1"/>
  <c r="N83"/>
  <c r="N84" s="1"/>
  <c r="N92" s="1"/>
  <c r="O72"/>
  <c r="O83" s="1"/>
  <c r="O84" s="1"/>
  <c r="O92" s="1"/>
  <c r="N97" l="1"/>
  <c r="N101" s="1"/>
  <c r="N102" s="1"/>
  <c r="N109" s="1"/>
  <c r="N98"/>
  <c r="N104" s="1"/>
  <c r="N105" s="1"/>
  <c r="N112" s="1"/>
  <c r="O20"/>
  <c r="P18"/>
  <c r="L104"/>
  <c r="L105" s="1"/>
  <c r="L112" s="1"/>
  <c r="O19"/>
  <c r="P16"/>
  <c r="O91" l="1"/>
  <c r="P20"/>
  <c r="O96"/>
  <c r="O97" s="1"/>
  <c r="P19"/>
  <c r="O101" l="1"/>
  <c r="O102" s="1"/>
  <c r="O109" s="1"/>
  <c r="O98"/>
  <c r="F118"/>
  <c r="O104" l="1"/>
  <c r="O105" s="1"/>
  <c r="O112" s="1"/>
</calcChain>
</file>

<file path=xl/comments1.xml><?xml version="1.0" encoding="utf-8"?>
<comments xmlns="http://schemas.openxmlformats.org/spreadsheetml/2006/main">
  <authors>
    <author>Tims Account</author>
    <author>Rich</author>
  </authors>
  <commentList>
    <comment ref="A13" authorId="0">
      <text>
        <r>
          <rPr>
            <b/>
            <sz val="8"/>
            <color indexed="81"/>
            <rFont val="Tahoma"/>
            <family val="2"/>
          </rPr>
          <t xml:space="preserve">Tim:
</t>
        </r>
        <r>
          <rPr>
            <sz val="8"/>
            <color indexed="81"/>
            <rFont val="Tahoma"/>
            <family val="2"/>
          </rPr>
          <t>Change this number to reflect the actual number of production weeks you get per year</t>
        </r>
      </text>
    </comment>
    <comment ref="B13" authorId="0">
      <text>
        <r>
          <rPr>
            <b/>
            <sz val="8"/>
            <color indexed="81"/>
            <rFont val="Tahoma"/>
            <family val="2"/>
          </rPr>
          <t xml:space="preserve">Tim: </t>
        </r>
        <r>
          <rPr>
            <sz val="8"/>
            <color indexed="81"/>
            <rFont val="Tahoma"/>
            <family val="2"/>
          </rPr>
          <t>Pack percentage is how much of the harvested crop actually goes to the buyer; after discarding bad plants and fruits.</t>
        </r>
      </text>
    </comment>
    <comment ref="C13" authorId="0">
      <text>
        <r>
          <rPr>
            <b/>
            <sz val="8"/>
            <color indexed="81"/>
            <rFont val="Tahoma"/>
            <family val="2"/>
          </rPr>
          <t xml:space="preserve">Tim:
</t>
        </r>
        <r>
          <rPr>
            <sz val="8"/>
            <color indexed="81"/>
            <rFont val="Tahoma"/>
            <family val="2"/>
          </rPr>
          <t xml:space="preserve">Change this number to reflect the actual square feet of raft area your greenhouse contains
</t>
        </r>
      </text>
    </comment>
    <comment ref="D13" authorId="0">
      <text>
        <r>
          <rPr>
            <b/>
            <sz val="8"/>
            <color indexed="81"/>
            <rFont val="Tahoma"/>
            <family val="2"/>
          </rPr>
          <t xml:space="preserve">Tim:
</t>
        </r>
        <r>
          <rPr>
            <sz val="8"/>
            <color indexed="81"/>
            <rFont val="Tahoma"/>
            <family val="2"/>
          </rPr>
          <t>Change this number to reflect the plants per square foot of raft in your system, depending on the proportion of 55's to 32's.</t>
        </r>
      </text>
    </comment>
    <comment ref="E13" authorId="0">
      <text>
        <r>
          <rPr>
            <b/>
            <sz val="8"/>
            <color indexed="81"/>
            <rFont val="Tahoma"/>
            <family val="2"/>
          </rPr>
          <t>Tim:</t>
        </r>
        <r>
          <rPr>
            <sz val="8"/>
            <color indexed="81"/>
            <rFont val="Tahoma"/>
            <family val="2"/>
          </rPr>
          <t xml:space="preserve">
Change this number to reflect the actual weight per hole of your vegetable produce when harvested</t>
        </r>
      </text>
    </comment>
    <comment ref="F13" authorId="0">
      <text>
        <r>
          <rPr>
            <b/>
            <sz val="8"/>
            <color indexed="81"/>
            <rFont val="Tahoma"/>
            <family val="2"/>
          </rPr>
          <t xml:space="preserve">Tim:
</t>
        </r>
        <r>
          <rPr>
            <sz val="8"/>
            <color indexed="81"/>
            <rFont val="Tahoma"/>
            <family val="2"/>
          </rPr>
          <t>Change this number to reflect the actual time it takes to mature vegetables from the time they go into the nursery 55's to the time they come out of the 32's</t>
        </r>
        <r>
          <rPr>
            <sz val="8"/>
            <color indexed="81"/>
            <rFont val="Tahoma"/>
            <family val="2"/>
          </rPr>
          <t xml:space="preserve">
</t>
        </r>
      </text>
    </comment>
    <comment ref="H13" authorId="0">
      <text>
        <r>
          <rPr>
            <b/>
            <sz val="8"/>
            <color indexed="81"/>
            <rFont val="Tahoma"/>
            <family val="2"/>
          </rPr>
          <t>Tim:</t>
        </r>
        <r>
          <rPr>
            <sz val="8"/>
            <color indexed="81"/>
            <rFont val="Tahoma"/>
            <family val="2"/>
          </rPr>
          <t xml:space="preserve">
2 weeks in the sprouting tables is conservative for a warm climate; HOWEVER, if you're in a cold winter, you may need to leave sprouts in the sprouting tables for 3 to 3-1/2 weeks to get the same growth. 
Make sure you use a factor here that gives you enough sprouting table in the cold winter months!</t>
        </r>
      </text>
    </comment>
    <comment ref="A16" authorId="0">
      <text>
        <r>
          <rPr>
            <b/>
            <sz val="8"/>
            <color indexed="81"/>
            <rFont val="Tahoma"/>
            <family val="2"/>
          </rPr>
          <t>Tim:</t>
        </r>
        <r>
          <rPr>
            <sz val="8"/>
            <color indexed="81"/>
            <rFont val="Tahoma"/>
            <family val="2"/>
          </rPr>
          <t xml:space="preserve">
Assumption: One fourth of the raft area is harvested each week. Raft density of each 2x4 raft is 32 holes.
Equations: 
Raft Area/4=Weekly Harvest Area.
Weekly Harvest Area/8=# of 2x4 Rafts.
# of 2x4 Rafts x 32 holes ea=number of units per week.</t>
        </r>
      </text>
    </comment>
    <comment ref="B16" authorId="1">
      <text>
        <r>
          <rPr>
            <b/>
            <sz val="9"/>
            <color indexed="81"/>
            <rFont val="Tahoma"/>
            <family val="2"/>
          </rPr>
          <t>Tim:</t>
        </r>
        <r>
          <rPr>
            <sz val="9"/>
            <color indexed="81"/>
            <rFont val="Tahoma"/>
            <family val="2"/>
          </rPr>
          <t xml:space="preserve">
</t>
        </r>
        <r>
          <rPr>
            <u/>
            <sz val="9"/>
            <color indexed="81"/>
            <rFont val="Tahoma"/>
            <family val="2"/>
          </rPr>
          <t>Assumption</t>
        </r>
        <r>
          <rPr>
            <sz val="9"/>
            <color indexed="81"/>
            <rFont val="Tahoma"/>
            <family val="2"/>
          </rPr>
          <t xml:space="preserve">: One fourth of the raft area is harvested each week. Raft density of each 2x4 raft is 32 holes.
</t>
        </r>
        <r>
          <rPr>
            <u/>
            <sz val="9"/>
            <color indexed="81"/>
            <rFont val="Tahoma"/>
            <family val="2"/>
          </rPr>
          <t>Equations:</t>
        </r>
        <r>
          <rPr>
            <sz val="9"/>
            <color indexed="81"/>
            <rFont val="Tahoma"/>
            <family val="2"/>
          </rPr>
          <t xml:space="preserve"> 
Raft Area/4=Weekly Harvest Area.
Weekly Harvest Area/8=# of 2x4 Rafts.
# of 2x4 Rafts x 32 holes ea=number of units per week.</t>
        </r>
      </text>
    </comment>
    <comment ref="C16" authorId="1">
      <text>
        <r>
          <rPr>
            <b/>
            <sz val="9"/>
            <color indexed="81"/>
            <rFont val="Tahoma"/>
            <family val="2"/>
          </rPr>
          <t>Tim:</t>
        </r>
        <r>
          <rPr>
            <sz val="9"/>
            <color indexed="81"/>
            <rFont val="Tahoma"/>
            <family val="2"/>
          </rPr>
          <t xml:space="preserve">
Change this number to reflect the actual price per pound of wholesale organic produce items in your area</t>
        </r>
      </text>
    </comment>
    <comment ref="B17" authorId="1">
      <text>
        <r>
          <rPr>
            <b/>
            <sz val="9"/>
            <color indexed="81"/>
            <rFont val="Tahoma"/>
            <family val="2"/>
          </rPr>
          <t>Tim:</t>
        </r>
        <r>
          <rPr>
            <sz val="9"/>
            <color indexed="81"/>
            <rFont val="Tahoma"/>
            <family val="2"/>
          </rPr>
          <t xml:space="preserve">
</t>
        </r>
        <r>
          <rPr>
            <u/>
            <sz val="9"/>
            <color indexed="81"/>
            <rFont val="Tahoma"/>
            <family val="2"/>
          </rPr>
          <t>Assumption</t>
        </r>
        <r>
          <rPr>
            <sz val="9"/>
            <color indexed="81"/>
            <rFont val="Tahoma"/>
            <family val="2"/>
          </rPr>
          <t xml:space="preserve">: 45 weeks production yielding 10 lbs per week
</t>
        </r>
      </text>
    </comment>
    <comment ref="C17" authorId="0">
      <text>
        <r>
          <rPr>
            <b/>
            <sz val="8"/>
            <color indexed="81"/>
            <rFont val="Tahoma"/>
            <family val="2"/>
          </rPr>
          <t xml:space="preserve">Tim:
</t>
        </r>
        <r>
          <rPr>
            <sz val="8"/>
            <color indexed="81"/>
            <rFont val="Tahoma"/>
            <family val="2"/>
          </rPr>
          <t>Change this number to reflect the actual sales price of fish per pound in your area</t>
        </r>
      </text>
    </comment>
    <comment ref="C18" authorId="0">
      <text>
        <r>
          <rPr>
            <b/>
            <sz val="8"/>
            <color indexed="81"/>
            <rFont val="Tahoma"/>
            <family val="2"/>
          </rPr>
          <t xml:space="preserve">Tim:
</t>
        </r>
        <r>
          <rPr>
            <sz val="8"/>
            <color indexed="81"/>
            <rFont val="Tahoma"/>
            <family val="2"/>
          </rPr>
          <t>Change this number to reflect the actual price per unit (each) of wholesale organic produce items in your area</t>
        </r>
      </text>
    </comment>
    <comment ref="E31" authorId="1">
      <text>
        <r>
          <rPr>
            <b/>
            <sz val="9"/>
            <color indexed="81"/>
            <rFont val="Tahoma"/>
            <family val="2"/>
          </rPr>
          <t>Tim:</t>
        </r>
        <r>
          <rPr>
            <sz val="9"/>
            <color indexed="81"/>
            <rFont val="Tahoma"/>
            <family val="2"/>
          </rPr>
          <t xml:space="preserve">
</t>
        </r>
        <r>
          <rPr>
            <u/>
            <sz val="9"/>
            <color indexed="81"/>
            <rFont val="Tahoma"/>
            <family val="2"/>
          </rPr>
          <t>Assumption:</t>
        </r>
        <r>
          <rPr>
            <sz val="9"/>
            <color indexed="81"/>
            <rFont val="Tahoma"/>
            <family val="2"/>
          </rPr>
          <t xml:space="preserve"> 3% price inflation per year should be conservative.</t>
        </r>
      </text>
    </comment>
    <comment ref="E33" authorId="1">
      <text>
        <r>
          <rPr>
            <b/>
            <sz val="9"/>
            <color indexed="81"/>
            <rFont val="Tahoma"/>
            <family val="2"/>
          </rPr>
          <t>Tim:</t>
        </r>
        <r>
          <rPr>
            <sz val="9"/>
            <color indexed="81"/>
            <rFont val="Tahoma"/>
            <family val="2"/>
          </rPr>
          <t xml:space="preserve">
Weekly production varies according to cycle time and production per hole</t>
        </r>
      </text>
    </comment>
    <comment ref="B65" authorId="0">
      <text>
        <r>
          <rPr>
            <b/>
            <sz val="8"/>
            <color indexed="81"/>
            <rFont val="Tahoma"/>
            <family val="2"/>
          </rPr>
          <t>Tim:</t>
        </r>
        <r>
          <rPr>
            <sz val="8"/>
            <color indexed="81"/>
            <rFont val="Tahoma"/>
            <family val="2"/>
          </rPr>
          <t xml:space="preserve">
Change this number to reflect the actual cost per kilowatt hour for electricity in your area</t>
        </r>
      </text>
    </comment>
    <comment ref="B66" authorId="0">
      <text>
        <r>
          <rPr>
            <b/>
            <sz val="8"/>
            <color indexed="81"/>
            <rFont val="Tahoma"/>
            <family val="2"/>
          </rPr>
          <t>Tim:</t>
        </r>
        <r>
          <rPr>
            <sz val="8"/>
            <color indexed="81"/>
            <rFont val="Tahoma"/>
            <family val="2"/>
          </rPr>
          <t xml:space="preserve">
Change this number to reflect the actual cost per kilowatt hour for electricity in your area</t>
        </r>
      </text>
    </comment>
    <comment ref="B67" authorId="0">
      <text>
        <r>
          <rPr>
            <b/>
            <sz val="8"/>
            <color indexed="81"/>
            <rFont val="Tahoma"/>
            <family val="2"/>
          </rPr>
          <t>Tim:</t>
        </r>
        <r>
          <rPr>
            <sz val="8"/>
            <color indexed="81"/>
            <rFont val="Tahoma"/>
            <family val="2"/>
          </rPr>
          <t xml:space="preserve">
Change this number to reflect the actual cost per kilowatt hour for electricity in your area</t>
        </r>
      </text>
    </comment>
    <comment ref="C67" authorId="0">
      <text>
        <r>
          <rPr>
            <b/>
            <sz val="8"/>
            <color indexed="81"/>
            <rFont val="Tahoma"/>
            <family val="2"/>
          </rPr>
          <t>Tim:</t>
        </r>
        <r>
          <rPr>
            <sz val="8"/>
            <color indexed="81"/>
            <rFont val="Tahoma"/>
            <family val="2"/>
          </rPr>
          <t xml:space="preserve">
This number is kilowatt hours per year for lighting 64 double-height Verticali.</t>
        </r>
      </text>
    </comment>
    <comment ref="B71" authorId="0">
      <text>
        <r>
          <rPr>
            <b/>
            <sz val="8"/>
            <color indexed="81"/>
            <rFont val="Tahoma"/>
            <family val="2"/>
          </rPr>
          <t>Tim:</t>
        </r>
        <r>
          <rPr>
            <sz val="8"/>
            <color indexed="81"/>
            <rFont val="Tahoma"/>
            <family val="2"/>
          </rPr>
          <t xml:space="preserve">
Change this number to the actual cost of fish food per pound in your area</t>
        </r>
      </text>
    </comment>
    <comment ref="C104" authorId="0">
      <text>
        <r>
          <rPr>
            <b/>
            <sz val="8"/>
            <color indexed="81"/>
            <rFont val="Tahoma"/>
            <family val="2"/>
          </rPr>
          <t>Tim:</t>
        </r>
        <r>
          <rPr>
            <sz val="8"/>
            <color indexed="81"/>
            <rFont val="Tahoma"/>
            <family val="2"/>
          </rPr>
          <t xml:space="preserve">
Change this number to reflect the approximate personal tax bracket you expect to be in</t>
        </r>
      </text>
    </comment>
  </commentList>
</comments>
</file>

<file path=xl/sharedStrings.xml><?xml version="1.0" encoding="utf-8"?>
<sst xmlns="http://schemas.openxmlformats.org/spreadsheetml/2006/main" count="173" uniqueCount="162">
  <si>
    <t>$/unit</t>
  </si>
  <si>
    <t>Product</t>
  </si>
  <si>
    <t>Year</t>
  </si>
  <si>
    <t>Expense Development Costs</t>
  </si>
  <si>
    <t>Total Capital Costs</t>
  </si>
  <si>
    <t>Total Soft Costs</t>
  </si>
  <si>
    <t>Total Development Costs</t>
  </si>
  <si>
    <t>Expense Operating Costs</t>
  </si>
  <si>
    <t>Total Operating Costs</t>
  </si>
  <si>
    <t>Total Costs</t>
  </si>
  <si>
    <t>% Total Op Costs Year 1</t>
  </si>
  <si>
    <t>Taxable Income &amp; Cash Flow</t>
  </si>
  <si>
    <t>Depreciation</t>
  </si>
  <si>
    <t>Operating Expenses</t>
  </si>
  <si>
    <t>Interest Paid on Loans</t>
  </si>
  <si>
    <t>*, ***</t>
  </si>
  <si>
    <t>**, ***</t>
  </si>
  <si>
    <t>** Inflation</t>
  </si>
  <si>
    <t>*** Energy Inflation</t>
  </si>
  <si>
    <t>Labor *, **</t>
  </si>
  <si>
    <t>Water **</t>
  </si>
  <si>
    <t>Fish Food **</t>
  </si>
  <si>
    <t>Seeds **</t>
  </si>
  <si>
    <t>Fingerlings **</t>
  </si>
  <si>
    <t>Other Agricultural Materials **</t>
  </si>
  <si>
    <t>Replacement Costs **</t>
  </si>
  <si>
    <t>Operating Reserve **</t>
  </si>
  <si>
    <t>Marketing **</t>
  </si>
  <si>
    <t>Transportation &amp; Delivery **</t>
  </si>
  <si>
    <t>Insurance **</t>
  </si>
  <si>
    <t>Accounting **</t>
  </si>
  <si>
    <t>Profitability</t>
  </si>
  <si>
    <t>Present Value</t>
  </si>
  <si>
    <t>Net Present Value</t>
  </si>
  <si>
    <t>Ammortization Schedule</t>
  </si>
  <si>
    <t>Ending Balance</t>
  </si>
  <si>
    <t>Total Annual Payment</t>
  </si>
  <si>
    <t>Interest Charge</t>
  </si>
  <si>
    <t>Years</t>
  </si>
  <si>
    <t>Life of the Loan</t>
  </si>
  <si>
    <t>Amortization*</t>
  </si>
  <si>
    <t>* Amortization = principal payment</t>
  </si>
  <si>
    <t>Water Storage gal</t>
  </si>
  <si>
    <t>Fish (Whole)</t>
  </si>
  <si>
    <t>Building Permits</t>
  </si>
  <si>
    <t>Site Preparation</t>
  </si>
  <si>
    <t>Sprouting Tables</t>
  </si>
  <si>
    <t>Flow of funds discounted to present value at a rate of .01</t>
  </si>
  <si>
    <t xml:space="preserve">Ten Year </t>
  </si>
  <si>
    <t>Pounds/yr</t>
  </si>
  <si>
    <t>Leafy Greens per pound</t>
  </si>
  <si>
    <t>Gross Income By The Pound</t>
  </si>
  <si>
    <t>Pounds of Vegetable Production per week</t>
  </si>
  <si>
    <t>Price Inflation Per Year</t>
  </si>
  <si>
    <t>Plumbing Labor</t>
  </si>
  <si>
    <t>Net Income before Taxes, By The Pound</t>
  </si>
  <si>
    <t>Net "Pound" Income After Taxes</t>
  </si>
  <si>
    <t>Net "Pound" Cash Flow*</t>
  </si>
  <si>
    <t>"Pound" Income Taxes</t>
  </si>
  <si>
    <t>Electricity Cost for Sprouting Table</t>
  </si>
  <si>
    <t>Fish Food Cost</t>
  </si>
  <si>
    <t>Key Color:</t>
  </si>
  <si>
    <t>What Is It?</t>
  </si>
  <si>
    <t>Formulas: if you know how to mess with these, you don't need us</t>
  </si>
  <si>
    <t>VERY accurate numbers, don't mess with them unless you're REALLY sure</t>
  </si>
  <si>
    <t>Places you MUST input your local numbers for an accurate projection</t>
  </si>
  <si>
    <t>Plant Weight is averaged; but is fantasy without a test grow to define it for your location and greenhouse</t>
  </si>
  <si>
    <t>Leafy Greens per head</t>
  </si>
  <si>
    <t>Gross Income By The Head</t>
  </si>
  <si>
    <t>Net Income before Taxes, By The Head</t>
  </si>
  <si>
    <t>Net "Head" Income After Taxes</t>
  </si>
  <si>
    <t>Net "Head" Cash Flow*</t>
  </si>
  <si>
    <t>Projections for a SINGLE species (lettuce, OR bok choi, OR green onions etc)</t>
  </si>
  <si>
    <t>Heads Per Year</t>
  </si>
  <si>
    <t>Total Plant Spaces</t>
  </si>
  <si>
    <t>Plant Spaces/Each</t>
  </si>
  <si>
    <t>$/Unit</t>
  </si>
  <si>
    <t>Total Cost/Plant Space</t>
  </si>
  <si>
    <t>Sprouting Table (sq ft)</t>
  </si>
  <si>
    <t>Pumps and Blowers</t>
  </si>
  <si>
    <t>Accurate estimates; don't mess with them unless you're sure</t>
  </si>
  <si>
    <t>"Pack Percentage" is the % of good plants compared to total harvest</t>
  </si>
  <si>
    <t>Pots, racks, totes, wash tubs</t>
  </si>
  <si>
    <t>Other Equipment</t>
  </si>
  <si>
    <t>Fish Tank Heaters and heat exchangers</t>
  </si>
  <si>
    <t>Electricity Cost for Lighting</t>
  </si>
  <si>
    <t>Electricity for Lighting ***</t>
  </si>
  <si>
    <t>Electricity for Equipment ***</t>
  </si>
  <si>
    <t>Units of Vegetable Production per week (heads)</t>
  </si>
  <si>
    <t>*After Income Taxes, Depreciation and Loan Amortization</t>
  </si>
  <si>
    <t>"Head" Income Taxes</t>
  </si>
  <si>
    <t>Labor to Construct Raft Systems</t>
  </si>
  <si>
    <t>Labor to Install all misc hardware</t>
  </si>
  <si>
    <t>2 - Fish Tanks (2,057/gal ea.)</t>
  </si>
  <si>
    <t>Grey boxes are your results, DON'T MESS WITH THEM AT ALL!</t>
  </si>
  <si>
    <t>Walkin and wiring</t>
  </si>
  <si>
    <t>Lease Rent **</t>
  </si>
  <si>
    <t>Total Loan Amount Amortized</t>
  </si>
  <si>
    <t>Depreciable Base</t>
  </si>
  <si>
    <t>Tax Rate in %</t>
  </si>
  <si>
    <t>Square Feet Of Rafts</t>
  </si>
  <si>
    <t>2" Blue Board rafts</t>
  </si>
  <si>
    <t>Principal Payment</t>
  </si>
  <si>
    <t>Total Payment</t>
  </si>
  <si>
    <t>Interest Payment</t>
  </si>
  <si>
    <t>Raft Supports (New)</t>
  </si>
  <si>
    <t>Raft Supports (Used)</t>
  </si>
  <si>
    <t>PVC Water and Air Piping</t>
  </si>
  <si>
    <t>Raft cost per square foot</t>
  </si>
  <si>
    <t>Electrical Labor and Charges</t>
  </si>
  <si>
    <t>Pallets per week</t>
  </si>
  <si>
    <t>Cost per pallet</t>
  </si>
  <si>
    <t>Reserved ***</t>
  </si>
  <si>
    <t>Gross Income from Operations, By The Head</t>
  </si>
  <si>
    <t>Gross Income from Operations, By The Pound</t>
  </si>
  <si>
    <t>Manager **</t>
  </si>
  <si>
    <t>labor formula is: total square feet of raft/2,500 square feet (what one person can handle) times $31,200 (what $15/hr costs for 52 40-hour weeks)</t>
  </si>
  <si>
    <t>Harvesting Scaffold and Stairs X2</t>
  </si>
  <si>
    <t xml:space="preserve">Potting Mix </t>
  </si>
  <si>
    <t>Germination %</t>
  </si>
  <si>
    <t>Plants Per Square Foot Of Raft</t>
  </si>
  <si>
    <t>Pack Percentage</t>
  </si>
  <si>
    <t>Weeks of Production</t>
  </si>
  <si>
    <t>Sprout Cull %</t>
  </si>
  <si>
    <t>Transfer Cull %</t>
  </si>
  <si>
    <t>Plants In Troughs</t>
  </si>
  <si>
    <t>Lighting</t>
  </si>
  <si>
    <t>Switches, wiring, and receptacles for lighting</t>
  </si>
  <si>
    <t>Number of Plants in Sprouting</t>
  </si>
  <si>
    <t>Plants Into Sprouting Per Week</t>
  </si>
  <si>
    <t>Plants Out Of Sprouting Per Week</t>
  </si>
  <si>
    <t>Combined Total Square Feet</t>
  </si>
  <si>
    <t>Phase 1 Rafts Square Feet</t>
  </si>
  <si>
    <t>Phase 2 Rafts Square Feet</t>
  </si>
  <si>
    <t>Phase 1 Plant Spaces</t>
  </si>
  <si>
    <t>Phase 2 Plant Spaces</t>
  </si>
  <si>
    <t>Total Raft Area sf</t>
  </si>
  <si>
    <t>Woodside Center Combined Phase 1 &amp; 2: Friendly Aquaponics estimates</t>
  </si>
  <si>
    <t>Oz per hole</t>
  </si>
  <si>
    <t>Time in Rafts</t>
  </si>
  <si>
    <t>Time in Sprouting Tables</t>
  </si>
  <si>
    <t>Gross Income</t>
  </si>
  <si>
    <t>FOR COMPARISON: NUMBERS BELOW</t>
  </si>
  <si>
    <t>First-Year Lighting Rebate</t>
  </si>
  <si>
    <t>Number of lights</t>
  </si>
  <si>
    <t>Kwhrs of Lighting</t>
  </si>
  <si>
    <t>3-oz heads, In Rafts 4 weeks, $3.25/lb, all other numbers the same</t>
  </si>
  <si>
    <t>Estimated Net Income</t>
  </si>
  <si>
    <t>Roughly a $50,000/year loss, AFTER expenses, depreciation, and amortization</t>
  </si>
  <si>
    <t>2.5-oz heads, In Rafts 6 weeks, $3.25/lb, all other numbers the same</t>
  </si>
  <si>
    <t>2.5-oz heads, In Rafts 4 weeks, $3.25/lb, all other numbers the same</t>
  </si>
  <si>
    <t>3-oz heads, In Rafts 6 weeks, $3.25/lb, all other numbers the same</t>
  </si>
  <si>
    <t>3-oz heads, In Rafts 5 weeks, $3.25/lb, all other numbers the same</t>
  </si>
  <si>
    <t>3-oz heads, In Rafts 4 weeks, $3.50/lb, all other numbers the same</t>
  </si>
  <si>
    <t>2.5-oz heads, In Rafts 5 weeks, $3.25/lb, all other numbers the same</t>
  </si>
  <si>
    <t>Gross Income by Pound</t>
  </si>
  <si>
    <t>Roughly a $160-170,000/year profit, AFTER expenses, depreciation, and amortization</t>
  </si>
  <si>
    <t>Roughly a $40,000/year profit, AFTER expenses, depreciation, and amortization</t>
  </si>
  <si>
    <t>Roughly a $150,000/year profit, AFTER expenses, depreciation, and amortization</t>
  </si>
  <si>
    <t>Roughly a $300,000/year profit, AFTER expenses, depreciation, and amortization</t>
  </si>
  <si>
    <t>Roughly a $370,000/year profit, AFTER expenses, depreciation, and amortization</t>
  </si>
  <si>
    <r>
      <t xml:space="preserve">Time in Rafts is how long the plants </t>
    </r>
    <r>
      <rPr>
        <b/>
        <u/>
        <sz val="11"/>
        <color theme="1"/>
        <rFont val="Calibri"/>
        <family val="2"/>
        <scheme val="minor"/>
      </rPr>
      <t>are in the rafts</t>
    </r>
    <r>
      <rPr>
        <b/>
        <sz val="11"/>
        <color theme="1"/>
        <rFont val="Calibri"/>
        <family val="2"/>
        <scheme val="minor"/>
      </rPr>
      <t>, not counting sprouting table time</t>
    </r>
  </si>
</sst>
</file>

<file path=xl/styles.xml><?xml version="1.0" encoding="utf-8"?>
<styleSheet xmlns="http://schemas.openxmlformats.org/spreadsheetml/2006/main">
  <numFmts count="8">
    <numFmt numFmtId="6" formatCode="&quot;$&quot;#,##0_);[Red]\(&quot;$&quot;#,##0\)"/>
    <numFmt numFmtId="44" formatCode="_(&quot;$&quot;* #,##0.00_);_(&quot;$&quot;* \(#,##0.00\);_(&quot;$&quot;* &quot;-&quot;??_);_(@_)"/>
    <numFmt numFmtId="43" formatCode="_(* #,##0.00_);_(* \(#,##0.00\);_(* &quot;-&quot;??_);_(@_)"/>
    <numFmt numFmtId="164" formatCode="_([$$-409]* #,##0_);_([$$-409]* \(#,##0\);_([$$-409]* &quot;-&quot;??_);_(@_)"/>
    <numFmt numFmtId="165" formatCode="&quot;$&quot;#,##0"/>
    <numFmt numFmtId="166" formatCode="_(&quot;$&quot;* #,##0_);_(&quot;$&quot;* \(#,##0\);_(&quot;$&quot;* &quot;-&quot;??_);_(@_)"/>
    <numFmt numFmtId="167" formatCode="&quot;$&quot;#,##0.00"/>
    <numFmt numFmtId="168" formatCode="_(* #,##0_);_(* \(#,##0\);_(* &quot;-&quot;??_);_(@_)"/>
  </numFmts>
  <fonts count="16">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sz val="11"/>
      <color theme="1"/>
      <name val="Calibri"/>
      <family val="2"/>
      <scheme val="minor"/>
    </font>
    <font>
      <sz val="9"/>
      <color indexed="81"/>
      <name val="Tahoma"/>
      <family val="2"/>
    </font>
    <font>
      <b/>
      <sz val="9"/>
      <color indexed="81"/>
      <name val="Tahoma"/>
      <family val="2"/>
    </font>
    <font>
      <sz val="11"/>
      <color rgb="FF3F3F76"/>
      <name val="Calibri"/>
      <family val="2"/>
      <scheme val="minor"/>
    </font>
    <font>
      <b/>
      <sz val="11"/>
      <color rgb="FFFA7D00"/>
      <name val="Calibri"/>
      <family val="2"/>
      <scheme val="minor"/>
    </font>
    <font>
      <u/>
      <sz val="9"/>
      <color indexed="81"/>
      <name val="Tahoma"/>
      <family val="2"/>
    </font>
    <font>
      <sz val="8"/>
      <color indexed="81"/>
      <name val="Tahoma"/>
      <family val="2"/>
    </font>
    <font>
      <b/>
      <sz val="8"/>
      <color indexed="81"/>
      <name val="Tahoma"/>
      <family val="2"/>
    </font>
    <font>
      <b/>
      <sz val="12"/>
      <color theme="1"/>
      <name val="Calibri"/>
      <family val="2"/>
      <scheme val="minor"/>
    </font>
    <font>
      <b/>
      <sz val="14"/>
      <color theme="1"/>
      <name val="Calibri"/>
      <family val="2"/>
      <scheme val="minor"/>
    </font>
    <font>
      <b/>
      <u/>
      <sz val="11"/>
      <color theme="1"/>
      <name val="Calibri"/>
      <family val="2"/>
      <scheme val="minor"/>
    </font>
  </fonts>
  <fills count="11">
    <fill>
      <patternFill patternType="none"/>
    </fill>
    <fill>
      <patternFill patternType="gray125"/>
    </fill>
    <fill>
      <patternFill patternType="solid">
        <fgColor theme="6"/>
      </patternFill>
    </fill>
    <fill>
      <patternFill patternType="solid">
        <fgColor theme="6" tint="0.39997558519241921"/>
        <bgColor indexed="65"/>
      </patternFill>
    </fill>
    <fill>
      <patternFill patternType="solid">
        <fgColor rgb="FFFFFFCC"/>
      </patternFill>
    </fill>
    <fill>
      <patternFill patternType="solid">
        <fgColor rgb="FFFFCC99"/>
      </patternFill>
    </fill>
    <fill>
      <patternFill patternType="solid">
        <fgColor rgb="FFF2F2F2"/>
      </patternFill>
    </fill>
    <fill>
      <patternFill patternType="solid">
        <fgColor rgb="FF00B0F0"/>
        <bgColor indexed="64"/>
      </patternFill>
    </fill>
    <fill>
      <patternFill patternType="solid">
        <fgColor rgb="FF00B050"/>
        <bgColor indexed="64"/>
      </patternFill>
    </fill>
    <fill>
      <patternFill patternType="solid">
        <fgColor rgb="FFFFFFCC"/>
        <bgColor indexed="64"/>
      </patternFill>
    </fill>
    <fill>
      <patternFill patternType="solid">
        <fgColor rgb="FFFFCC99"/>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indexed="64"/>
      </bottom>
      <diagonal/>
    </border>
    <border>
      <left style="thin">
        <color rgb="FF7F7F7F"/>
      </left>
      <right style="thin">
        <color rgb="FF7F7F7F"/>
      </right>
      <top style="thin">
        <color indexed="64"/>
      </top>
      <bottom style="thin">
        <color indexed="64"/>
      </bottom>
      <diagonal/>
    </border>
    <border>
      <left style="thin">
        <color rgb="FF7F7F7F"/>
      </left>
      <right style="thin">
        <color rgb="FF7F7F7F"/>
      </right>
      <top/>
      <bottom/>
      <diagonal/>
    </border>
    <border>
      <left style="thin">
        <color rgb="FF7F7F7F"/>
      </left>
      <right style="thin">
        <color rgb="FF7F7F7F"/>
      </right>
      <top/>
      <bottom style="thin">
        <color rgb="FF7F7F7F"/>
      </bottom>
      <diagonal/>
    </border>
    <border>
      <left style="thin">
        <color rgb="FF7F7F7F"/>
      </left>
      <right style="thin">
        <color rgb="FF7F7F7F"/>
      </right>
      <top style="thin">
        <color rgb="FF7F7F7F"/>
      </top>
      <bottom style="thin">
        <color indexed="64"/>
      </bottom>
      <diagonal/>
    </border>
    <border>
      <left style="thin">
        <color rgb="FFB2B2B2"/>
      </left>
      <right style="thin">
        <color rgb="FFB2B2B2"/>
      </right>
      <top/>
      <bottom style="thin">
        <color rgb="FFB2B2B2"/>
      </bottom>
      <diagonal/>
    </border>
    <border>
      <left style="hair">
        <color rgb="FF7F7F7F"/>
      </left>
      <right style="hair">
        <color rgb="FF7F7F7F"/>
      </right>
      <top style="hair">
        <color rgb="FF7F7F7F"/>
      </top>
      <bottom style="hair">
        <color rgb="FF7F7F7F"/>
      </bottom>
      <diagonal/>
    </border>
    <border>
      <left/>
      <right style="thin">
        <color rgb="FF7F7F7F"/>
      </right>
      <top style="thin">
        <color rgb="FF7F7F7F"/>
      </top>
      <bottom style="thin">
        <color rgb="FF7F7F7F"/>
      </bottom>
      <diagonal/>
    </border>
    <border>
      <left/>
      <right/>
      <top style="thin">
        <color indexed="64"/>
      </top>
      <bottom/>
      <diagonal/>
    </border>
    <border>
      <left/>
      <right style="hair">
        <color auto="1"/>
      </right>
      <top/>
      <bottom style="hair">
        <color auto="1"/>
      </bottom>
      <diagonal/>
    </border>
  </borders>
  <cellStyleXfs count="8">
    <xf numFmtId="0" fontId="0" fillId="0" borderId="0"/>
    <xf numFmtId="0" fontId="2" fillId="2" borderId="0" applyNumberFormat="0" applyBorder="0" applyAlignment="0" applyProtection="0"/>
    <xf numFmtId="0" fontId="2" fillId="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4" borderId="3" applyNumberFormat="0" applyFont="0" applyAlignment="0" applyProtection="0"/>
    <xf numFmtId="0" fontId="8" fillId="5" borderId="4" applyNumberFormat="0" applyAlignment="0" applyProtection="0"/>
    <xf numFmtId="0" fontId="9" fillId="6" borderId="4" applyNumberFormat="0" applyAlignment="0" applyProtection="0"/>
  </cellStyleXfs>
  <cellXfs count="105">
    <xf numFmtId="0" fontId="0" fillId="0" borderId="0" xfId="0"/>
    <xf numFmtId="0" fontId="0" fillId="0" borderId="1" xfId="0" applyBorder="1"/>
    <xf numFmtId="3" fontId="0" fillId="0" borderId="0" xfId="0" applyNumberFormat="1"/>
    <xf numFmtId="0" fontId="1" fillId="0" borderId="1" xfId="0" applyFont="1" applyBorder="1"/>
    <xf numFmtId="0" fontId="1" fillId="0" borderId="0" xfId="0" applyFont="1"/>
    <xf numFmtId="0" fontId="1" fillId="0" borderId="0" xfId="0" applyFont="1" applyAlignment="1">
      <alignment horizontal="center"/>
    </xf>
    <xf numFmtId="0" fontId="0" fillId="0" borderId="0" xfId="0" applyAlignment="1">
      <alignment horizontal="right"/>
    </xf>
    <xf numFmtId="0" fontId="1" fillId="0" borderId="2" xfId="0" applyFont="1" applyBorder="1" applyAlignment="1">
      <alignment horizontal="center"/>
    </xf>
    <xf numFmtId="0" fontId="1" fillId="0" borderId="0" xfId="0" applyFont="1" applyAlignment="1">
      <alignment horizontal="right"/>
    </xf>
    <xf numFmtId="0" fontId="0" fillId="0" borderId="0" xfId="0" applyAlignment="1">
      <alignment wrapText="1"/>
    </xf>
    <xf numFmtId="9" fontId="0" fillId="0" borderId="0" xfId="0" applyNumberFormat="1"/>
    <xf numFmtId="164" fontId="0" fillId="0" borderId="0" xfId="0" applyNumberFormat="1"/>
    <xf numFmtId="165" fontId="0" fillId="0" borderId="0" xfId="0" applyNumberFormat="1"/>
    <xf numFmtId="0" fontId="0" fillId="0" borderId="0" xfId="0" applyBorder="1"/>
    <xf numFmtId="0" fontId="0" fillId="0" borderId="0" xfId="0" applyAlignment="1">
      <alignment horizontal="center"/>
    </xf>
    <xf numFmtId="0" fontId="2" fillId="3" borderId="1" xfId="2" applyBorder="1"/>
    <xf numFmtId="0" fontId="3" fillId="3" borderId="1" xfId="2" applyFont="1" applyBorder="1"/>
    <xf numFmtId="0" fontId="4" fillId="3" borderId="1" xfId="2" applyFont="1" applyBorder="1" applyAlignment="1">
      <alignment horizontal="right"/>
    </xf>
    <xf numFmtId="0" fontId="3" fillId="2" borderId="1" xfId="1" applyFont="1" applyBorder="1"/>
    <xf numFmtId="0" fontId="0" fillId="0" borderId="0" xfId="0" applyBorder="1" applyAlignment="1">
      <alignment horizontal="center"/>
    </xf>
    <xf numFmtId="0" fontId="0" fillId="0" borderId="0" xfId="0" applyFill="1" applyBorder="1"/>
    <xf numFmtId="0" fontId="1" fillId="0" borderId="2" xfId="0" applyFont="1" applyBorder="1" applyAlignment="1">
      <alignment horizontal="right"/>
    </xf>
    <xf numFmtId="0" fontId="0" fillId="0" borderId="2" xfId="0" applyBorder="1"/>
    <xf numFmtId="0" fontId="4" fillId="2" borderId="1" xfId="1" applyFont="1" applyBorder="1"/>
    <xf numFmtId="0" fontId="0" fillId="0" borderId="0" xfId="0" applyAlignment="1">
      <alignment horizontal="left"/>
    </xf>
    <xf numFmtId="166" fontId="0" fillId="0" borderId="0" xfId="4" applyNumberFormat="1" applyFont="1"/>
    <xf numFmtId="6" fontId="0" fillId="0" borderId="0" xfId="0" applyNumberFormat="1"/>
    <xf numFmtId="0" fontId="0" fillId="0" borderId="2" xfId="0" applyBorder="1" applyAlignment="1">
      <alignment horizontal="right"/>
    </xf>
    <xf numFmtId="6" fontId="0" fillId="0" borderId="2" xfId="0" applyNumberFormat="1" applyBorder="1"/>
    <xf numFmtId="0" fontId="0" fillId="0" borderId="0" xfId="0" applyBorder="1" applyAlignment="1">
      <alignment horizontal="right"/>
    </xf>
    <xf numFmtId="0" fontId="0" fillId="4" borderId="3" xfId="5" applyFont="1"/>
    <xf numFmtId="37" fontId="1" fillId="6" borderId="4" xfId="7" applyNumberFormat="1" applyFont="1" applyAlignment="1">
      <alignment horizontal="right"/>
    </xf>
    <xf numFmtId="3" fontId="1" fillId="6" borderId="4" xfId="7" applyNumberFormat="1" applyFont="1"/>
    <xf numFmtId="165" fontId="1" fillId="6" borderId="4" xfId="7" applyNumberFormat="1" applyFont="1"/>
    <xf numFmtId="165" fontId="1" fillId="6" borderId="6" xfId="7" applyNumberFormat="1" applyFont="1" applyBorder="1"/>
    <xf numFmtId="165" fontId="1" fillId="6" borderId="7" xfId="7" applyNumberFormat="1" applyFont="1" applyBorder="1"/>
    <xf numFmtId="165" fontId="1" fillId="6" borderId="8" xfId="7" applyNumberFormat="1" applyFont="1" applyBorder="1"/>
    <xf numFmtId="0" fontId="0" fillId="0" borderId="0" xfId="0" applyFill="1"/>
    <xf numFmtId="167" fontId="1" fillId="6" borderId="4" xfId="7" applyNumberFormat="1" applyFont="1"/>
    <xf numFmtId="167" fontId="1" fillId="0" borderId="0" xfId="0" applyNumberFormat="1" applyFont="1"/>
    <xf numFmtId="3" fontId="1" fillId="6" borderId="8" xfId="7" applyNumberFormat="1" applyFont="1" applyBorder="1"/>
    <xf numFmtId="3" fontId="5" fillId="6" borderId="4" xfId="7" applyNumberFormat="1" applyFont="1"/>
    <xf numFmtId="165" fontId="5" fillId="6" borderId="4" xfId="7" applyNumberFormat="1" applyFont="1"/>
    <xf numFmtId="166" fontId="5" fillId="6" borderId="9" xfId="7" applyNumberFormat="1" applyFont="1" applyBorder="1"/>
    <xf numFmtId="0" fontId="5" fillId="6" borderId="9" xfId="7" applyFont="1" applyBorder="1"/>
    <xf numFmtId="3" fontId="5" fillId="6" borderId="9" xfId="7" applyNumberFormat="1" applyFont="1" applyBorder="1"/>
    <xf numFmtId="166" fontId="0" fillId="4" borderId="3" xfId="5" applyNumberFormat="1" applyFont="1"/>
    <xf numFmtId="0" fontId="0" fillId="4" borderId="10" xfId="5" applyFont="1" applyBorder="1"/>
    <xf numFmtId="0" fontId="0" fillId="4" borderId="5" xfId="5" applyFont="1" applyBorder="1"/>
    <xf numFmtId="39" fontId="0" fillId="4" borderId="3" xfId="5" applyNumberFormat="1" applyFont="1" applyAlignment="1" applyProtection="1">
      <alignment horizontal="right"/>
      <protection locked="0"/>
    </xf>
    <xf numFmtId="168" fontId="0" fillId="4" borderId="3" xfId="5" applyNumberFormat="1" applyFont="1" applyProtection="1">
      <protection locked="0"/>
    </xf>
    <xf numFmtId="0" fontId="0" fillId="4" borderId="3" xfId="5" applyFont="1" applyProtection="1">
      <protection locked="0"/>
    </xf>
    <xf numFmtId="3" fontId="0" fillId="4" borderId="5" xfId="5" applyNumberFormat="1" applyFont="1" applyBorder="1" applyProtection="1">
      <protection locked="0"/>
    </xf>
    <xf numFmtId="3" fontId="0" fillId="4" borderId="3" xfId="5" applyNumberFormat="1" applyFont="1" applyProtection="1">
      <protection locked="0"/>
    </xf>
    <xf numFmtId="2" fontId="0" fillId="4" borderId="3" xfId="5" applyNumberFormat="1" applyFont="1" applyProtection="1">
      <protection locked="0"/>
    </xf>
    <xf numFmtId="0" fontId="3" fillId="2" borderId="1" xfId="1" applyFont="1" applyBorder="1" applyAlignment="1">
      <alignment horizontal="right"/>
    </xf>
    <xf numFmtId="44" fontId="0" fillId="4" borderId="3" xfId="5" applyNumberFormat="1" applyFont="1"/>
    <xf numFmtId="168" fontId="0" fillId="0" borderId="0" xfId="3" applyNumberFormat="1" applyFont="1" applyBorder="1" applyAlignment="1"/>
    <xf numFmtId="44" fontId="5" fillId="6" borderId="4" xfId="7" applyNumberFormat="1" applyFont="1"/>
    <xf numFmtId="0" fontId="3" fillId="3" borderId="1" xfId="2" applyFont="1" applyBorder="1" applyAlignment="1">
      <alignment horizontal="right"/>
    </xf>
    <xf numFmtId="37" fontId="1" fillId="6" borderId="4" xfId="7" applyNumberFormat="1" applyFont="1"/>
    <xf numFmtId="168" fontId="5" fillId="6" borderId="4" xfId="7" applyNumberFormat="1" applyFont="1" applyProtection="1">
      <protection locked="0"/>
    </xf>
    <xf numFmtId="3" fontId="8" fillId="5" borderId="4" xfId="6" applyNumberFormat="1" applyProtection="1">
      <protection locked="0"/>
    </xf>
    <xf numFmtId="0" fontId="3" fillId="3" borderId="2" xfId="2" applyFont="1" applyBorder="1"/>
    <xf numFmtId="39" fontId="0" fillId="7" borderId="3" xfId="5" applyNumberFormat="1" applyFont="1" applyFill="1" applyAlignment="1" applyProtection="1">
      <alignment horizontal="right"/>
      <protection locked="0"/>
    </xf>
    <xf numFmtId="37" fontId="1" fillId="8" borderId="12" xfId="7" applyNumberFormat="1" applyFont="1" applyFill="1" applyBorder="1" applyAlignment="1" applyProtection="1">
      <alignment horizontal="right"/>
      <protection locked="0"/>
    </xf>
    <xf numFmtId="3" fontId="1" fillId="8" borderId="0" xfId="0" applyNumberFormat="1" applyFont="1" applyFill="1"/>
    <xf numFmtId="168" fontId="1" fillId="8" borderId="4" xfId="7" applyNumberFormat="1" applyFont="1" applyFill="1"/>
    <xf numFmtId="166" fontId="5" fillId="6" borderId="7" xfId="7" applyNumberFormat="1" applyFont="1" applyBorder="1"/>
    <xf numFmtId="3" fontId="5" fillId="6" borderId="7" xfId="7" applyNumberFormat="1" applyFont="1" applyBorder="1"/>
    <xf numFmtId="166" fontId="1" fillId="6" borderId="7" xfId="7" applyNumberFormat="1" applyFont="1" applyBorder="1"/>
    <xf numFmtId="3" fontId="1" fillId="6" borderId="0" xfId="7" applyNumberFormat="1" applyFont="1" applyBorder="1"/>
    <xf numFmtId="165" fontId="1" fillId="6" borderId="0" xfId="7" applyNumberFormat="1" applyFont="1" applyBorder="1"/>
    <xf numFmtId="0" fontId="4" fillId="2" borderId="13" xfId="1" applyFont="1" applyBorder="1"/>
    <xf numFmtId="0" fontId="3" fillId="2" borderId="13" xfId="1" applyFont="1" applyBorder="1"/>
    <xf numFmtId="0" fontId="0" fillId="0" borderId="14" xfId="0" applyBorder="1"/>
    <xf numFmtId="0" fontId="0" fillId="7" borderId="0" xfId="0" applyFill="1"/>
    <xf numFmtId="0" fontId="1" fillId="0" borderId="0" xfId="0" applyFont="1" applyAlignment="1">
      <alignment horizontal="left"/>
    </xf>
    <xf numFmtId="0" fontId="13" fillId="0" borderId="0" xfId="0" applyFont="1"/>
    <xf numFmtId="0" fontId="0" fillId="9" borderId="0" xfId="0" applyFill="1"/>
    <xf numFmtId="0" fontId="0" fillId="10" borderId="0" xfId="0" applyFill="1"/>
    <xf numFmtId="0" fontId="0" fillId="8" borderId="0" xfId="0" applyFill="1"/>
    <xf numFmtId="2" fontId="0" fillId="0" borderId="0" xfId="0" applyNumberFormat="1" applyBorder="1"/>
    <xf numFmtId="2" fontId="0" fillId="7" borderId="0" xfId="0" applyNumberFormat="1" applyFill="1" applyBorder="1"/>
    <xf numFmtId="0" fontId="14" fillId="0" borderId="0" xfId="0" applyFont="1"/>
    <xf numFmtId="0" fontId="14" fillId="0" borderId="0" xfId="0" applyFont="1" applyAlignment="1">
      <alignment horizontal="left"/>
    </xf>
    <xf numFmtId="37" fontId="1" fillId="9" borderId="3" xfId="5" applyNumberFormat="1" applyFont="1" applyFill="1" applyAlignment="1" applyProtection="1">
      <alignment horizontal="right"/>
      <protection locked="0"/>
    </xf>
    <xf numFmtId="4" fontId="1" fillId="6" borderId="6" xfId="7" applyNumberFormat="1" applyFont="1" applyBorder="1"/>
    <xf numFmtId="4" fontId="0" fillId="7" borderId="0" xfId="0" applyNumberFormat="1" applyFill="1"/>
    <xf numFmtId="10" fontId="1" fillId="6" borderId="4" xfId="7" applyNumberFormat="1" applyFont="1"/>
    <xf numFmtId="10" fontId="1" fillId="6" borderId="9" xfId="7" applyNumberFormat="1" applyFont="1" applyBorder="1"/>
    <xf numFmtId="165" fontId="1" fillId="0" borderId="0" xfId="0" applyNumberFormat="1" applyFont="1"/>
    <xf numFmtId="9" fontId="1" fillId="7" borderId="0" xfId="0" applyNumberFormat="1" applyFont="1" applyFill="1"/>
    <xf numFmtId="167" fontId="0" fillId="4" borderId="3" xfId="5" applyNumberFormat="1" applyFont="1" applyProtection="1">
      <protection locked="0"/>
    </xf>
    <xf numFmtId="37" fontId="0" fillId="4" borderId="3" xfId="5" applyNumberFormat="1" applyFont="1"/>
    <xf numFmtId="37" fontId="1" fillId="7" borderId="3" xfId="5" applyNumberFormat="1" applyFont="1" applyFill="1" applyAlignment="1" applyProtection="1">
      <alignment horizontal="center"/>
      <protection locked="0"/>
    </xf>
    <xf numFmtId="37" fontId="1" fillId="8" borderId="3" xfId="5" applyNumberFormat="1" applyFont="1" applyFill="1" applyAlignment="1" applyProtection="1">
      <alignment horizontal="right"/>
      <protection locked="0"/>
    </xf>
    <xf numFmtId="0" fontId="1" fillId="7" borderId="3" xfId="5" applyFont="1" applyFill="1"/>
    <xf numFmtId="0" fontId="1" fillId="7" borderId="11" xfId="0" applyFont="1" applyFill="1" applyBorder="1" applyAlignment="1">
      <alignment horizontal="right"/>
    </xf>
    <xf numFmtId="9" fontId="1" fillId="7" borderId="11" xfId="0" applyNumberFormat="1" applyFont="1" applyFill="1" applyBorder="1" applyAlignment="1">
      <alignment horizontal="right"/>
    </xf>
    <xf numFmtId="3" fontId="0" fillId="8" borderId="0" xfId="0" applyNumberFormat="1" applyFill="1"/>
    <xf numFmtId="39" fontId="1" fillId="8" borderId="3" xfId="5" applyNumberFormat="1" applyFont="1" applyFill="1" applyAlignment="1" applyProtection="1">
      <alignment horizontal="right"/>
      <protection locked="0"/>
    </xf>
    <xf numFmtId="4" fontId="1" fillId="7" borderId="3" xfId="0" applyNumberFormat="1" applyFont="1" applyFill="1" applyBorder="1"/>
    <xf numFmtId="3" fontId="1" fillId="0" borderId="0" xfId="0" applyNumberFormat="1" applyFont="1" applyAlignment="1">
      <alignment horizontal="right"/>
    </xf>
    <xf numFmtId="3" fontId="0" fillId="7" borderId="0" xfId="0" applyNumberFormat="1" applyFill="1"/>
  </cellXfs>
  <cellStyles count="8">
    <cellStyle name="60% - Accent3" xfId="2" builtinId="40"/>
    <cellStyle name="Accent3" xfId="1" builtinId="37"/>
    <cellStyle name="Calculation" xfId="7" builtinId="22"/>
    <cellStyle name="Comma" xfId="3" builtinId="3"/>
    <cellStyle name="Currency" xfId="4" builtinId="4"/>
    <cellStyle name="Input" xfId="6" builtinId="20"/>
    <cellStyle name="Normal" xfId="0" builtinId="0"/>
    <cellStyle name="Note" xfId="5" builtinId="10"/>
  </cellStyles>
  <dxfs count="0"/>
  <tableStyles count="0" defaultTableStyle="TableStyleMedium2" defaultPivotStyle="PivotStyleLight16"/>
  <colors>
    <mruColors>
      <color rgb="FFFFFFCC"/>
      <color rgb="FFFFCC99"/>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R126"/>
  <sheetViews>
    <sheetView tabSelected="1" topLeftCell="A31" workbookViewId="0">
      <selection activeCell="E42" sqref="E42"/>
    </sheetView>
  </sheetViews>
  <sheetFormatPr defaultRowHeight="15"/>
  <cols>
    <col min="1" max="1" width="21.7109375" customWidth="1"/>
    <col min="2" max="2" width="12.7109375" customWidth="1"/>
    <col min="3" max="3" width="17.28515625" customWidth="1"/>
    <col min="4" max="4" width="29.140625" customWidth="1"/>
    <col min="5" max="6" width="12.5703125" bestFit="1" customWidth="1"/>
    <col min="7" max="16" width="11.5703125" bestFit="1" customWidth="1"/>
  </cols>
  <sheetData>
    <row r="1" spans="1:16" ht="18.75">
      <c r="A1" s="84" t="s">
        <v>137</v>
      </c>
      <c r="G1" s="78" t="s">
        <v>61</v>
      </c>
      <c r="H1" s="78" t="s">
        <v>62</v>
      </c>
    </row>
    <row r="2" spans="1:16" ht="18.75">
      <c r="A2" s="85"/>
      <c r="B2" s="6"/>
      <c r="C2" s="6"/>
      <c r="D2" s="6"/>
      <c r="G2" s="76"/>
      <c r="H2" s="4" t="s">
        <v>65</v>
      </c>
    </row>
    <row r="3" spans="1:16" ht="18.75">
      <c r="A3" s="85" t="s">
        <v>72</v>
      </c>
      <c r="B3" s="6"/>
      <c r="C3" s="6"/>
      <c r="D3" s="6"/>
      <c r="G3" s="76"/>
      <c r="H3" s="4" t="s">
        <v>81</v>
      </c>
    </row>
    <row r="4" spans="1:16" ht="18.75">
      <c r="A4" s="85"/>
      <c r="B4" s="6"/>
      <c r="C4" s="6"/>
      <c r="D4" s="6"/>
      <c r="G4" s="76"/>
      <c r="H4" s="4" t="s">
        <v>161</v>
      </c>
    </row>
    <row r="5" spans="1:16">
      <c r="A5" s="4"/>
      <c r="B5" s="8" t="s">
        <v>132</v>
      </c>
      <c r="C5" s="8" t="s">
        <v>75</v>
      </c>
      <c r="D5" s="8" t="s">
        <v>134</v>
      </c>
      <c r="G5" s="76"/>
      <c r="H5" s="4" t="s">
        <v>66</v>
      </c>
    </row>
    <row r="6" spans="1:16">
      <c r="A6" s="4"/>
      <c r="B6" s="96">
        <f>(68*4*6*6)-(2176/4)</f>
        <v>9248</v>
      </c>
      <c r="C6" s="101">
        <f>PlantsPerSqFt</f>
        <v>6.45</v>
      </c>
      <c r="D6" s="96">
        <f>B6*C6</f>
        <v>59649.599999999999</v>
      </c>
      <c r="G6" s="76"/>
    </row>
    <row r="7" spans="1:16">
      <c r="A7" s="4"/>
      <c r="B7" s="8" t="s">
        <v>133</v>
      </c>
      <c r="C7" s="8" t="s">
        <v>75</v>
      </c>
      <c r="D7" s="8" t="s">
        <v>135</v>
      </c>
      <c r="G7" s="79"/>
      <c r="H7" s="4" t="s">
        <v>80</v>
      </c>
    </row>
    <row r="8" spans="1:16">
      <c r="A8" s="4"/>
      <c r="B8" s="96">
        <f>(58*4*6*6)</f>
        <v>8352</v>
      </c>
      <c r="C8" s="101">
        <f>PlantsPerSqFt</f>
        <v>6.45</v>
      </c>
      <c r="D8" s="96">
        <f>B8*C8</f>
        <v>53870.400000000001</v>
      </c>
      <c r="G8" s="80"/>
      <c r="H8" s="4" t="s">
        <v>64</v>
      </c>
    </row>
    <row r="9" spans="1:16">
      <c r="A9" s="4"/>
      <c r="B9" s="8" t="s">
        <v>131</v>
      </c>
      <c r="C9" s="8" t="s">
        <v>75</v>
      </c>
      <c r="D9" s="8" t="s">
        <v>74</v>
      </c>
      <c r="G9" s="81"/>
      <c r="H9" s="4" t="s">
        <v>63</v>
      </c>
    </row>
    <row r="10" spans="1:16">
      <c r="A10" s="4"/>
      <c r="B10" s="96">
        <f>B6+B8</f>
        <v>17600</v>
      </c>
      <c r="C10" s="101">
        <f>PlantsPerSqFt</f>
        <v>6.45</v>
      </c>
      <c r="D10" s="96">
        <f>D6+D8</f>
        <v>113520</v>
      </c>
      <c r="G10" s="32"/>
      <c r="H10" s="4" t="s">
        <v>94</v>
      </c>
    </row>
    <row r="11" spans="1:16">
      <c r="A11" s="4"/>
    </row>
    <row r="12" spans="1:16">
      <c r="A12" s="4" t="s">
        <v>122</v>
      </c>
      <c r="B12" s="77" t="s">
        <v>121</v>
      </c>
      <c r="C12" s="77" t="s">
        <v>136</v>
      </c>
      <c r="D12" s="77" t="s">
        <v>120</v>
      </c>
      <c r="E12" s="77" t="s">
        <v>138</v>
      </c>
      <c r="F12" s="77" t="s">
        <v>139</v>
      </c>
      <c r="G12" s="4" t="s">
        <v>119</v>
      </c>
      <c r="H12" s="4" t="s">
        <v>140</v>
      </c>
      <c r="I12" s="4" t="s">
        <v>123</v>
      </c>
      <c r="J12" s="4" t="s">
        <v>124</v>
      </c>
    </row>
    <row r="13" spans="1:16">
      <c r="A13" s="95">
        <v>52</v>
      </c>
      <c r="B13" s="92">
        <v>0.95</v>
      </c>
      <c r="C13" s="96">
        <f>B10</f>
        <v>17600</v>
      </c>
      <c r="D13" s="97">
        <v>6.45</v>
      </c>
      <c r="E13" s="102">
        <v>3</v>
      </c>
      <c r="F13" s="98">
        <v>5</v>
      </c>
      <c r="G13" s="99">
        <v>0.95</v>
      </c>
      <c r="H13" s="98">
        <v>2</v>
      </c>
      <c r="I13" s="92">
        <v>0.15</v>
      </c>
      <c r="J13" s="92">
        <v>0.15</v>
      </c>
    </row>
    <row r="14" spans="1:16">
      <c r="A14" s="15"/>
      <c r="B14" s="15"/>
      <c r="C14" s="15"/>
      <c r="D14" s="17" t="s">
        <v>2</v>
      </c>
      <c r="E14" s="63">
        <v>0</v>
      </c>
      <c r="F14" s="16">
        <v>1</v>
      </c>
      <c r="G14" s="16">
        <f>F14+1</f>
        <v>2</v>
      </c>
      <c r="H14" s="16">
        <f t="shared" ref="H14:O14" si="0">G14+1</f>
        <v>3</v>
      </c>
      <c r="I14" s="16">
        <f t="shared" si="0"/>
        <v>4</v>
      </c>
      <c r="J14" s="16">
        <f t="shared" si="0"/>
        <v>5</v>
      </c>
      <c r="K14" s="16">
        <f t="shared" si="0"/>
        <v>6</v>
      </c>
      <c r="L14" s="16">
        <f t="shared" si="0"/>
        <v>7</v>
      </c>
      <c r="M14" s="16">
        <f t="shared" si="0"/>
        <v>8</v>
      </c>
      <c r="N14" s="16">
        <f t="shared" si="0"/>
        <v>9</v>
      </c>
      <c r="O14" s="16">
        <f t="shared" si="0"/>
        <v>10</v>
      </c>
      <c r="P14" s="59" t="s">
        <v>48</v>
      </c>
    </row>
    <row r="15" spans="1:16">
      <c r="A15" s="4" t="s">
        <v>73</v>
      </c>
      <c r="B15" s="8" t="s">
        <v>49</v>
      </c>
      <c r="C15" s="8" t="s">
        <v>0</v>
      </c>
      <c r="D15" s="4" t="s">
        <v>1</v>
      </c>
      <c r="F15" s="4" t="s">
        <v>141</v>
      </c>
    </row>
    <row r="16" spans="1:16">
      <c r="A16" s="66">
        <f>((TotalPlantSpaces/CycleTime))*WeeksofProd*Pack_Percentage</f>
        <v>1121577.5999999999</v>
      </c>
      <c r="B16" s="65">
        <f>((TotalPlantSpaces/CycleTime))*WeeksofProd*(ProdPerHole/16)*Pack_Percentage</f>
        <v>210295.8</v>
      </c>
      <c r="C16" s="64">
        <v>3.5</v>
      </c>
      <c r="D16" s="77" t="s">
        <v>50</v>
      </c>
      <c r="E16" s="14" t="s">
        <v>15</v>
      </c>
      <c r="F16" s="31">
        <f>$B$16*$C$16</f>
        <v>736035.29999999993</v>
      </c>
      <c r="G16" s="31">
        <f>F16*$E$31</f>
        <v>758116.35899999994</v>
      </c>
      <c r="H16" s="31">
        <f t="shared" ref="H16:O16" si="1">G16*$E$31</f>
        <v>780859.84976999997</v>
      </c>
      <c r="I16" s="31">
        <f t="shared" si="1"/>
        <v>804285.64526310004</v>
      </c>
      <c r="J16" s="31">
        <f t="shared" si="1"/>
        <v>828414.21462099312</v>
      </c>
      <c r="K16" s="31">
        <f t="shared" si="1"/>
        <v>853266.64105962298</v>
      </c>
      <c r="L16" s="31">
        <f t="shared" si="1"/>
        <v>878864.64029141166</v>
      </c>
      <c r="M16" s="31">
        <f t="shared" si="1"/>
        <v>905230.57950015401</v>
      </c>
      <c r="N16" s="31">
        <f t="shared" si="1"/>
        <v>932387.4968851587</v>
      </c>
      <c r="O16" s="31">
        <f t="shared" si="1"/>
        <v>960359.12179171352</v>
      </c>
      <c r="P16" s="60">
        <f>SUM(F16:O16)</f>
        <v>8437819.848182153</v>
      </c>
    </row>
    <row r="17" spans="1:18">
      <c r="A17" s="29"/>
      <c r="B17" s="86">
        <v>6450</v>
      </c>
      <c r="C17" s="64">
        <v>1.1000000000000001</v>
      </c>
      <c r="D17" s="77" t="s">
        <v>43</v>
      </c>
      <c r="E17" s="19" t="s">
        <v>16</v>
      </c>
      <c r="F17" s="31">
        <f>$B$17*C17</f>
        <v>7095.0000000000009</v>
      </c>
      <c r="G17" s="31">
        <f>F17*$E$31</f>
        <v>7307.8500000000013</v>
      </c>
      <c r="H17" s="31">
        <f t="shared" ref="H17:O18" si="2">G17*$E$31</f>
        <v>7527.085500000002</v>
      </c>
      <c r="I17" s="31">
        <f t="shared" si="2"/>
        <v>7752.8980650000021</v>
      </c>
      <c r="J17" s="31">
        <f t="shared" si="2"/>
        <v>7985.4850069500026</v>
      </c>
      <c r="K17" s="31">
        <f t="shared" si="2"/>
        <v>8225.0495571585034</v>
      </c>
      <c r="L17" s="31">
        <f t="shared" si="2"/>
        <v>8471.8010438732581</v>
      </c>
      <c r="M17" s="31">
        <f t="shared" si="2"/>
        <v>8725.9550751894567</v>
      </c>
      <c r="N17" s="31">
        <f t="shared" si="2"/>
        <v>8987.7337274451402</v>
      </c>
      <c r="O17" s="31">
        <f t="shared" si="2"/>
        <v>9257.3657392684945</v>
      </c>
      <c r="P17" s="60">
        <f>SUM(F17:O17)</f>
        <v>81336.223714884865</v>
      </c>
    </row>
    <row r="18" spans="1:18">
      <c r="A18" s="13"/>
      <c r="B18" s="82"/>
      <c r="C18" s="83">
        <v>0.85</v>
      </c>
      <c r="D18" s="77" t="s">
        <v>67</v>
      </c>
      <c r="E18" s="19"/>
      <c r="F18" s="31">
        <f>$A$16*$C$18</f>
        <v>953340.95999999985</v>
      </c>
      <c r="G18" s="31">
        <f>F18*$E$31</f>
        <v>981941.18879999989</v>
      </c>
      <c r="H18" s="31">
        <f t="shared" si="2"/>
        <v>1011399.4244639999</v>
      </c>
      <c r="I18" s="31">
        <f t="shared" si="2"/>
        <v>1041741.4071979199</v>
      </c>
      <c r="J18" s="31">
        <f t="shared" si="2"/>
        <v>1072993.6494138576</v>
      </c>
      <c r="K18" s="31">
        <f t="shared" si="2"/>
        <v>1105183.4588962733</v>
      </c>
      <c r="L18" s="31">
        <f t="shared" si="2"/>
        <v>1138338.9626631616</v>
      </c>
      <c r="M18" s="31">
        <f t="shared" si="2"/>
        <v>1172489.1315430563</v>
      </c>
      <c r="N18" s="31">
        <f t="shared" si="2"/>
        <v>1207663.805489348</v>
      </c>
      <c r="O18" s="31">
        <f t="shared" si="2"/>
        <v>1243893.7196540285</v>
      </c>
      <c r="P18" s="60">
        <f>SUM(F18:O18)</f>
        <v>10928985.708121646</v>
      </c>
    </row>
    <row r="19" spans="1:18">
      <c r="D19" s="8" t="s">
        <v>51</v>
      </c>
      <c r="E19" s="14"/>
      <c r="F19" s="32">
        <f>F16+F17</f>
        <v>743130.29999999993</v>
      </c>
      <c r="G19" s="32">
        <f>+G16+G17</f>
        <v>765424.20899999992</v>
      </c>
      <c r="H19" s="32">
        <f t="shared" ref="H19:O19" si="3">H16+H17</f>
        <v>788386.93527000002</v>
      </c>
      <c r="I19" s="32">
        <f t="shared" si="3"/>
        <v>812038.5433281</v>
      </c>
      <c r="J19" s="32">
        <f t="shared" si="3"/>
        <v>836399.6996279431</v>
      </c>
      <c r="K19" s="32">
        <f t="shared" si="3"/>
        <v>861491.69061678147</v>
      </c>
      <c r="L19" s="32">
        <f t="shared" si="3"/>
        <v>887336.44133528497</v>
      </c>
      <c r="M19" s="32">
        <f t="shared" si="3"/>
        <v>913956.53457534348</v>
      </c>
      <c r="N19" s="32">
        <f t="shared" si="3"/>
        <v>941375.23061260383</v>
      </c>
      <c r="O19" s="32">
        <f t="shared" si="3"/>
        <v>969616.48753098201</v>
      </c>
      <c r="P19" s="60">
        <f>SUM(F19:O19)</f>
        <v>8519156.0718970392</v>
      </c>
    </row>
    <row r="20" spans="1:18">
      <c r="D20" s="8" t="s">
        <v>68</v>
      </c>
      <c r="E20" s="14"/>
      <c r="F20" s="31">
        <f t="shared" ref="F20:O20" si="4">SUM(F17:F18)</f>
        <v>960435.95999999985</v>
      </c>
      <c r="G20" s="31">
        <f t="shared" si="4"/>
        <v>989249.03879999986</v>
      </c>
      <c r="H20" s="31">
        <f t="shared" si="4"/>
        <v>1018926.509964</v>
      </c>
      <c r="I20" s="31">
        <f t="shared" si="4"/>
        <v>1049494.30526292</v>
      </c>
      <c r="J20" s="31">
        <f t="shared" si="4"/>
        <v>1080979.1344208077</v>
      </c>
      <c r="K20" s="31">
        <f t="shared" si="4"/>
        <v>1113408.5084534318</v>
      </c>
      <c r="L20" s="31">
        <f t="shared" si="4"/>
        <v>1146810.7637070348</v>
      </c>
      <c r="M20" s="31">
        <f t="shared" si="4"/>
        <v>1181215.0866182458</v>
      </c>
      <c r="N20" s="31">
        <f t="shared" si="4"/>
        <v>1216651.5392167931</v>
      </c>
      <c r="O20" s="31">
        <f t="shared" si="4"/>
        <v>1253151.085393297</v>
      </c>
      <c r="P20" s="31">
        <f>SUM(F20:O20)</f>
        <v>11010321.931836529</v>
      </c>
    </row>
    <row r="21" spans="1:18">
      <c r="D21" s="8"/>
      <c r="E21" s="8"/>
      <c r="F21" s="8"/>
      <c r="G21" s="8"/>
      <c r="H21" s="8"/>
      <c r="I21" s="8"/>
      <c r="J21" s="8"/>
      <c r="K21" s="8"/>
      <c r="L21" s="8"/>
      <c r="M21" s="8"/>
      <c r="N21" s="8"/>
      <c r="O21" s="8"/>
      <c r="P21" s="8"/>
      <c r="Q21" s="8"/>
      <c r="R21" s="8"/>
    </row>
    <row r="22" spans="1:18">
      <c r="A22" s="4" t="s">
        <v>125</v>
      </c>
      <c r="D22" s="8" t="s">
        <v>142</v>
      </c>
      <c r="E22" s="8"/>
      <c r="F22" s="4" t="s">
        <v>155</v>
      </c>
      <c r="G22" s="4"/>
      <c r="H22" s="77" t="s">
        <v>147</v>
      </c>
      <c r="I22" s="8"/>
      <c r="J22" s="8"/>
      <c r="K22" s="8"/>
      <c r="L22" s="8"/>
      <c r="M22" s="8"/>
      <c r="N22" s="8"/>
      <c r="O22" s="8"/>
      <c r="P22" s="8"/>
      <c r="Q22" s="8"/>
      <c r="R22" s="8"/>
    </row>
    <row r="23" spans="1:18">
      <c r="A23" s="100">
        <f>RaftAreaSf*PlantsPerSqFt</f>
        <v>113520</v>
      </c>
      <c r="D23" s="8"/>
      <c r="E23" s="8" t="s">
        <v>149</v>
      </c>
      <c r="F23" s="103">
        <f>((TotalPlantSpaces/6))*WeeksofProd*(2.5/16)*Pack_Percentage*3</f>
        <v>438116.25</v>
      </c>
      <c r="G23" s="103"/>
      <c r="H23" s="77" t="s">
        <v>148</v>
      </c>
      <c r="I23" s="8"/>
      <c r="J23" s="8"/>
      <c r="K23" s="8"/>
      <c r="L23" s="8"/>
      <c r="M23" s="8"/>
      <c r="N23" s="8"/>
      <c r="O23" s="8"/>
      <c r="P23" s="8"/>
      <c r="Q23" s="8"/>
      <c r="R23" s="8"/>
    </row>
    <row r="24" spans="1:18">
      <c r="A24" s="4" t="s">
        <v>128</v>
      </c>
      <c r="D24" s="8"/>
      <c r="E24" s="8" t="s">
        <v>154</v>
      </c>
      <c r="F24" s="103">
        <f>((TotalPlantSpaces/5))*WeeksofProd*(2.5/16)*Pack_Percentage*3.25</f>
        <v>569551.125</v>
      </c>
      <c r="G24" s="103"/>
      <c r="H24" s="77" t="s">
        <v>157</v>
      </c>
      <c r="I24" s="8"/>
      <c r="J24" s="8"/>
      <c r="K24" s="8"/>
      <c r="L24" s="8"/>
      <c r="M24" s="8"/>
      <c r="N24" s="8"/>
      <c r="O24" s="8"/>
      <c r="P24" s="8"/>
      <c r="Q24" s="8"/>
      <c r="R24" s="8"/>
    </row>
    <row r="25" spans="1:18">
      <c r="A25" s="100">
        <f>(((RaftAreaSf*PlantsPerSqFt)/CycleTime)*(1+SproutCull)*(1+TransferCull)*(1/Germination)*SproutingCycleTime)</f>
        <v>63212.715789473674</v>
      </c>
      <c r="D25" s="8"/>
      <c r="E25" s="8" t="s">
        <v>150</v>
      </c>
      <c r="F25" s="103">
        <f>((TotalPlantSpaces/4))*WeeksofProd*(2.5/16)*Pack_Percentage*3.25</f>
        <v>711938.90625</v>
      </c>
      <c r="G25" s="103"/>
      <c r="H25" s="77" t="s">
        <v>156</v>
      </c>
      <c r="I25" s="8"/>
      <c r="J25" s="8"/>
      <c r="K25" s="8"/>
      <c r="L25" s="8"/>
      <c r="M25" s="8"/>
      <c r="N25" s="8"/>
      <c r="O25" s="8"/>
      <c r="P25" s="8"/>
      <c r="Q25" s="8"/>
      <c r="R25" s="8"/>
    </row>
    <row r="26" spans="1:18">
      <c r="A26" s="4" t="s">
        <v>129</v>
      </c>
      <c r="D26" s="8"/>
      <c r="E26" s="8" t="s">
        <v>151</v>
      </c>
      <c r="F26" s="103">
        <f>((TotalPlantSpaces/6))*WeeksofProd*(3/16)*Pack_Percentage*3.25</f>
        <v>569551.125</v>
      </c>
      <c r="G26" s="103"/>
      <c r="H26" s="77" t="s">
        <v>157</v>
      </c>
      <c r="I26" s="8"/>
      <c r="J26" s="8"/>
      <c r="K26" s="8"/>
      <c r="L26" s="8"/>
      <c r="M26" s="8"/>
      <c r="N26" s="8"/>
      <c r="O26" s="8"/>
      <c r="P26" s="8"/>
      <c r="Q26" s="8"/>
      <c r="R26" s="8"/>
    </row>
    <row r="27" spans="1:18">
      <c r="A27" s="100">
        <f>(PlantsInSprouting/SproutingCycleTime)*(1/Germination)</f>
        <v>33269.850415512461</v>
      </c>
      <c r="D27" s="8"/>
      <c r="E27" s="8" t="s">
        <v>152</v>
      </c>
      <c r="F27" s="103">
        <f>((TotalPlantSpaces/5))*WeeksofProd*(3/16)*Pack_Percentage*3.25</f>
        <v>683461.35</v>
      </c>
      <c r="G27" s="103"/>
      <c r="H27" s="77" t="s">
        <v>158</v>
      </c>
      <c r="I27" s="8"/>
      <c r="J27" s="8"/>
      <c r="K27" s="8"/>
      <c r="L27" s="8"/>
      <c r="M27" s="8"/>
      <c r="N27" s="8"/>
      <c r="O27" s="8"/>
      <c r="P27" s="8"/>
      <c r="Q27" s="8"/>
      <c r="R27" s="8"/>
    </row>
    <row r="28" spans="1:18">
      <c r="A28" s="4" t="s">
        <v>130</v>
      </c>
      <c r="D28" s="8"/>
      <c r="E28" s="8" t="s">
        <v>146</v>
      </c>
      <c r="F28" s="103">
        <f>((TotalPlantSpaces/4))*WeeksofProd*(3/16)*Pack_Percentage*3.25</f>
        <v>854326.6875</v>
      </c>
      <c r="G28" s="103"/>
      <c r="H28" s="77" t="s">
        <v>159</v>
      </c>
      <c r="I28" s="8"/>
      <c r="J28" s="8"/>
      <c r="K28" s="8"/>
      <c r="L28" s="8"/>
      <c r="M28" s="8"/>
      <c r="N28" s="8"/>
      <c r="O28" s="8"/>
      <c r="P28" s="8"/>
      <c r="Q28" s="8"/>
      <c r="R28" s="8"/>
    </row>
    <row r="29" spans="1:18">
      <c r="A29" s="100">
        <f>(PlantsInSprouting/SproutingCycleTime)*Germination*(1/(1+SproutCull))</f>
        <v>26109.599999999999</v>
      </c>
      <c r="D29" s="8"/>
      <c r="E29" s="8" t="s">
        <v>153</v>
      </c>
      <c r="F29" s="103">
        <f>((TotalPlantSpaces/4))*WeeksofProd*(3/16)*Pack_Percentage*3.5</f>
        <v>920044.125</v>
      </c>
      <c r="G29" s="103"/>
      <c r="H29" s="77" t="s">
        <v>160</v>
      </c>
      <c r="I29" s="8"/>
      <c r="J29" s="8"/>
      <c r="K29" s="8"/>
      <c r="L29" s="8"/>
      <c r="M29" s="8"/>
      <c r="N29" s="8"/>
      <c r="O29" s="8"/>
      <c r="P29" s="8"/>
      <c r="Q29" s="8"/>
      <c r="R29" s="8"/>
    </row>
    <row r="30" spans="1:18">
      <c r="F30" s="2"/>
    </row>
    <row r="31" spans="1:18">
      <c r="D31" s="6" t="s">
        <v>53</v>
      </c>
      <c r="E31" s="49">
        <v>1.03</v>
      </c>
    </row>
    <row r="32" spans="1:18">
      <c r="C32" s="4" t="s">
        <v>88</v>
      </c>
      <c r="D32" s="4"/>
      <c r="E32" s="67">
        <f>((TotalPlantSpaces/CycleTime))*Pack_Percentage</f>
        <v>21568.799999999999</v>
      </c>
      <c r="F32" s="6"/>
    </row>
    <row r="33" spans="1:15">
      <c r="C33" s="4" t="s">
        <v>52</v>
      </c>
      <c r="E33" s="67">
        <f>B16/WeeksofProd</f>
        <v>4044.1499999999996</v>
      </c>
      <c r="F33" s="4"/>
    </row>
    <row r="34" spans="1:15">
      <c r="A34" s="23" t="s">
        <v>3</v>
      </c>
      <c r="B34" s="18"/>
      <c r="C34" s="55" t="s">
        <v>76</v>
      </c>
      <c r="D34" s="17" t="s">
        <v>2</v>
      </c>
      <c r="E34" s="16">
        <v>0</v>
      </c>
    </row>
    <row r="35" spans="1:15">
      <c r="A35" t="s">
        <v>100</v>
      </c>
      <c r="B35" s="61">
        <f>B6</f>
        <v>9248</v>
      </c>
      <c r="C35" s="58">
        <v>20</v>
      </c>
      <c r="D35" t="s">
        <v>105</v>
      </c>
      <c r="E35" s="49">
        <f>B35*C35</f>
        <v>184960</v>
      </c>
      <c r="F35" s="49">
        <f>B35*G35</f>
        <v>129472</v>
      </c>
      <c r="G35" s="49">
        <v>14</v>
      </c>
      <c r="H35" t="s">
        <v>106</v>
      </c>
    </row>
    <row r="36" spans="1:15">
      <c r="A36" s="20" t="s">
        <v>78</v>
      </c>
      <c r="B36" s="94">
        <f>B35*0.1</f>
        <v>924.80000000000007</v>
      </c>
      <c r="C36" s="56">
        <v>14.5</v>
      </c>
      <c r="D36" s="57" t="s">
        <v>46</v>
      </c>
      <c r="E36" s="49">
        <f>B36*C36</f>
        <v>13409.6</v>
      </c>
    </row>
    <row r="37" spans="1:15">
      <c r="D37" t="s">
        <v>93</v>
      </c>
      <c r="E37" s="49">
        <v>4812</v>
      </c>
    </row>
    <row r="38" spans="1:15">
      <c r="D38" t="s">
        <v>82</v>
      </c>
      <c r="E38" s="49">
        <v>2856</v>
      </c>
    </row>
    <row r="39" spans="1:15">
      <c r="A39" t="s">
        <v>42</v>
      </c>
      <c r="B39" s="50">
        <v>2057</v>
      </c>
      <c r="D39" t="s">
        <v>79</v>
      </c>
      <c r="E39" s="49">
        <v>3462</v>
      </c>
    </row>
    <row r="40" spans="1:15">
      <c r="D40" t="s">
        <v>107</v>
      </c>
      <c r="E40" s="49">
        <v>4335</v>
      </c>
    </row>
    <row r="41" spans="1:15">
      <c r="D41" t="s">
        <v>84</v>
      </c>
      <c r="E41" s="49">
        <v>0</v>
      </c>
    </row>
    <row r="42" spans="1:15">
      <c r="D42" t="s">
        <v>126</v>
      </c>
      <c r="E42" s="49">
        <f>945*550</f>
        <v>519750</v>
      </c>
    </row>
    <row r="43" spans="1:15">
      <c r="D43" t="s">
        <v>127</v>
      </c>
      <c r="E43" s="49">
        <v>145670</v>
      </c>
    </row>
    <row r="44" spans="1:15">
      <c r="B44" s="8" t="s">
        <v>108</v>
      </c>
      <c r="C44" s="83">
        <v>1.4</v>
      </c>
      <c r="D44" t="s">
        <v>101</v>
      </c>
      <c r="E44" s="49">
        <f>B35*C44</f>
        <v>12947.199999999999</v>
      </c>
    </row>
    <row r="45" spans="1:15">
      <c r="B45" s="2"/>
      <c r="D45" t="s">
        <v>95</v>
      </c>
      <c r="E45" s="49">
        <v>24550</v>
      </c>
    </row>
    <row r="46" spans="1:15">
      <c r="B46" s="2"/>
      <c r="D46" t="s">
        <v>117</v>
      </c>
      <c r="E46" s="49">
        <v>86500</v>
      </c>
    </row>
    <row r="47" spans="1:15">
      <c r="D47" t="s">
        <v>83</v>
      </c>
      <c r="E47" s="49">
        <v>22182</v>
      </c>
    </row>
    <row r="48" spans="1:15">
      <c r="B48" s="39"/>
      <c r="D48" s="3" t="s">
        <v>4</v>
      </c>
      <c r="E48" s="87">
        <f>SUM(E35:E47)</f>
        <v>1025433.7999999999</v>
      </c>
      <c r="F48" s="1"/>
      <c r="G48" s="1"/>
      <c r="H48" s="1"/>
      <c r="I48" s="1"/>
      <c r="J48" s="1"/>
      <c r="K48" s="1"/>
      <c r="L48" s="1"/>
      <c r="M48" s="1"/>
      <c r="N48" s="1"/>
      <c r="O48" s="1"/>
    </row>
    <row r="51" spans="1:16">
      <c r="D51" t="s">
        <v>91</v>
      </c>
      <c r="E51" s="53">
        <v>48400</v>
      </c>
    </row>
    <row r="52" spans="1:16">
      <c r="D52" t="s">
        <v>92</v>
      </c>
      <c r="E52" s="53">
        <v>28125</v>
      </c>
    </row>
    <row r="53" spans="1:16">
      <c r="D53" t="s">
        <v>44</v>
      </c>
      <c r="E53" s="53">
        <v>400</v>
      </c>
    </row>
    <row r="54" spans="1:16">
      <c r="D54" t="s">
        <v>45</v>
      </c>
      <c r="E54" s="53">
        <v>0</v>
      </c>
    </row>
    <row r="55" spans="1:16">
      <c r="D55" t="s">
        <v>54</v>
      </c>
      <c r="E55" s="53">
        <v>22560</v>
      </c>
    </row>
    <row r="56" spans="1:16">
      <c r="D56" t="s">
        <v>109</v>
      </c>
      <c r="E56" s="52">
        <v>8754</v>
      </c>
    </row>
    <row r="57" spans="1:16">
      <c r="D57" s="5" t="s">
        <v>5</v>
      </c>
      <c r="E57" s="35">
        <f>SUM(E51:E56)</f>
        <v>108239</v>
      </c>
    </row>
    <row r="58" spans="1:16">
      <c r="B58" s="38"/>
      <c r="D58" s="3" t="s">
        <v>6</v>
      </c>
      <c r="E58" s="34">
        <f>E57+E48</f>
        <v>1133672.7999999998</v>
      </c>
      <c r="F58" s="1"/>
      <c r="G58" s="1"/>
      <c r="H58" s="1"/>
      <c r="I58" s="1"/>
      <c r="J58" s="1"/>
      <c r="K58" s="1"/>
      <c r="L58" s="1"/>
      <c r="M58" s="1"/>
      <c r="N58" s="1"/>
      <c r="O58" s="1"/>
    </row>
    <row r="60" spans="1:16" ht="14.25" customHeight="1">
      <c r="A60" s="4" t="s">
        <v>77</v>
      </c>
      <c r="B60" s="38">
        <f>E58/TotalPlantSpaces</f>
        <v>9.9865468639887229</v>
      </c>
      <c r="D60" s="4"/>
      <c r="E60" s="25"/>
    </row>
    <row r="62" spans="1:16">
      <c r="A62" s="23" t="s">
        <v>7</v>
      </c>
      <c r="B62" s="18"/>
      <c r="C62" s="18"/>
      <c r="D62" s="17" t="s">
        <v>2</v>
      </c>
      <c r="E62" s="16">
        <v>0</v>
      </c>
      <c r="F62" s="16">
        <v>1</v>
      </c>
      <c r="G62" s="16">
        <f>F62+1</f>
        <v>2</v>
      </c>
      <c r="H62" s="16">
        <f t="shared" ref="H62:O62" si="5">G62+1</f>
        <v>3</v>
      </c>
      <c r="I62" s="16">
        <f t="shared" si="5"/>
        <v>4</v>
      </c>
      <c r="J62" s="16">
        <f t="shared" si="5"/>
        <v>5</v>
      </c>
      <c r="K62" s="16">
        <f t="shared" si="5"/>
        <v>6</v>
      </c>
      <c r="L62" s="16">
        <f t="shared" si="5"/>
        <v>7</v>
      </c>
      <c r="M62" s="16">
        <f t="shared" si="5"/>
        <v>8</v>
      </c>
      <c r="N62" s="16">
        <f t="shared" si="5"/>
        <v>9</v>
      </c>
      <c r="O62" s="16">
        <f t="shared" si="5"/>
        <v>10</v>
      </c>
    </row>
    <row r="63" spans="1:16" ht="30">
      <c r="E63" s="9" t="s">
        <v>10</v>
      </c>
    </row>
    <row r="64" spans="1:16">
      <c r="D64" t="s">
        <v>115</v>
      </c>
      <c r="E64" s="89">
        <f>F64/$F$83</f>
        <v>0.11420177621175984</v>
      </c>
      <c r="F64" s="62">
        <v>62000</v>
      </c>
      <c r="G64" s="41">
        <f t="shared" ref="G64:O64" si="6">F64*(1+$E$86)</f>
        <v>63860</v>
      </c>
      <c r="H64" s="41">
        <f t="shared" si="6"/>
        <v>65775.8</v>
      </c>
      <c r="I64" s="41">
        <f t="shared" si="6"/>
        <v>67749.074000000008</v>
      </c>
      <c r="J64" s="41">
        <f t="shared" si="6"/>
        <v>69781.546220000004</v>
      </c>
      <c r="K64" s="41">
        <f t="shared" si="6"/>
        <v>71874.992606600004</v>
      </c>
      <c r="L64" s="41">
        <f t="shared" si="6"/>
        <v>74031.24238479801</v>
      </c>
      <c r="M64" s="41">
        <f t="shared" si="6"/>
        <v>76252.179656341948</v>
      </c>
      <c r="N64" s="41">
        <f t="shared" si="6"/>
        <v>78539.745046032214</v>
      </c>
      <c r="O64" s="41">
        <f t="shared" si="6"/>
        <v>80895.937397413189</v>
      </c>
      <c r="P64" s="11"/>
    </row>
    <row r="65" spans="1:16">
      <c r="A65" s="4" t="s">
        <v>144</v>
      </c>
      <c r="B65" s="104">
        <f>B10/16</f>
        <v>1100</v>
      </c>
      <c r="C65" s="8" t="s">
        <v>145</v>
      </c>
      <c r="D65" t="s">
        <v>19</v>
      </c>
      <c r="E65" s="89">
        <f>F65/$F$83</f>
        <v>0.40458373776388107</v>
      </c>
      <c r="F65" s="62">
        <f>(B10/2500)*31200</f>
        <v>219648</v>
      </c>
      <c r="G65" s="41">
        <f t="shared" ref="G65:O65" si="7">F65*(1+$E$86)</f>
        <v>226237.44</v>
      </c>
      <c r="H65" s="41">
        <f t="shared" si="7"/>
        <v>233024.5632</v>
      </c>
      <c r="I65" s="41">
        <f t="shared" si="7"/>
        <v>240015.30009600002</v>
      </c>
      <c r="J65" s="41">
        <f t="shared" si="7"/>
        <v>247215.75909888002</v>
      </c>
      <c r="K65" s="41">
        <f t="shared" si="7"/>
        <v>254632.23187184642</v>
      </c>
      <c r="L65" s="41">
        <f t="shared" si="7"/>
        <v>262271.1988280018</v>
      </c>
      <c r="M65" s="41">
        <f t="shared" si="7"/>
        <v>270139.33479284187</v>
      </c>
      <c r="N65" s="41">
        <f t="shared" si="7"/>
        <v>278243.51483662712</v>
      </c>
      <c r="O65" s="41">
        <f t="shared" si="7"/>
        <v>286590.82028172596</v>
      </c>
    </row>
    <row r="66" spans="1:16">
      <c r="A66" s="4" t="s">
        <v>85</v>
      </c>
      <c r="B66" s="88">
        <v>0.12</v>
      </c>
      <c r="C66" s="104">
        <f>B65*(16*170*365)/1000</f>
        <v>1092080</v>
      </c>
      <c r="D66" t="s">
        <v>86</v>
      </c>
      <c r="E66" s="89">
        <f t="shared" ref="E66:E83" si="8">F66/$F$83</f>
        <v>0.24138866277162324</v>
      </c>
      <c r="F66" s="62">
        <f>(B66*C66)</f>
        <v>131049.59999999999</v>
      </c>
      <c r="G66" s="41">
        <f t="shared" ref="G66:O66" si="9">F66*(1+$E$87)</f>
        <v>144154.56</v>
      </c>
      <c r="H66" s="41">
        <f t="shared" si="9"/>
        <v>158570.016</v>
      </c>
      <c r="I66" s="41">
        <f t="shared" si="9"/>
        <v>174427.01760000002</v>
      </c>
      <c r="J66" s="41">
        <f t="shared" si="9"/>
        <v>191869.71936000005</v>
      </c>
      <c r="K66" s="41">
        <f t="shared" si="9"/>
        <v>211056.69129600006</v>
      </c>
      <c r="L66" s="41">
        <f t="shared" si="9"/>
        <v>232162.36042560008</v>
      </c>
      <c r="M66" s="41">
        <f t="shared" si="9"/>
        <v>255378.5964681601</v>
      </c>
      <c r="N66" s="41">
        <f t="shared" si="9"/>
        <v>280916.45611497614</v>
      </c>
      <c r="O66" s="41">
        <f t="shared" si="9"/>
        <v>309008.10172647377</v>
      </c>
    </row>
    <row r="67" spans="1:16">
      <c r="A67" s="4" t="s">
        <v>59</v>
      </c>
      <c r="B67" s="88">
        <v>0.12</v>
      </c>
      <c r="C67" s="2">
        <f>B10*5.25</f>
        <v>92400</v>
      </c>
      <c r="D67" t="s">
        <v>87</v>
      </c>
      <c r="E67" s="89">
        <f t="shared" si="8"/>
        <v>2.0423698300580533E-2</v>
      </c>
      <c r="F67" s="62">
        <f>(B67*C67)</f>
        <v>11088</v>
      </c>
      <c r="G67" s="41">
        <f t="shared" ref="G67:O67" si="10">F67*(1+$E$87)</f>
        <v>12196.800000000001</v>
      </c>
      <c r="H67" s="41">
        <f t="shared" si="10"/>
        <v>13416.480000000001</v>
      </c>
      <c r="I67" s="41">
        <f t="shared" si="10"/>
        <v>14758.128000000002</v>
      </c>
      <c r="J67" s="41">
        <f t="shared" si="10"/>
        <v>16233.940800000004</v>
      </c>
      <c r="K67" s="41">
        <f t="shared" si="10"/>
        <v>17857.334880000006</v>
      </c>
      <c r="L67" s="41">
        <f t="shared" si="10"/>
        <v>19643.068368000007</v>
      </c>
      <c r="M67" s="41">
        <f t="shared" si="10"/>
        <v>21607.37520480001</v>
      </c>
      <c r="N67" s="41">
        <f t="shared" si="10"/>
        <v>23768.112725280014</v>
      </c>
      <c r="O67" s="41">
        <f t="shared" si="10"/>
        <v>26144.923997808019</v>
      </c>
      <c r="P67" s="11"/>
    </row>
    <row r="68" spans="1:16">
      <c r="D68" t="s">
        <v>112</v>
      </c>
      <c r="E68" s="89">
        <f t="shared" si="8"/>
        <v>0</v>
      </c>
      <c r="F68" s="53">
        <v>0</v>
      </c>
      <c r="G68" s="41">
        <f t="shared" ref="G68:O68" si="11">F68*(1+$E$87)</f>
        <v>0</v>
      </c>
      <c r="H68" s="41">
        <f t="shared" si="11"/>
        <v>0</v>
      </c>
      <c r="I68" s="41">
        <f t="shared" si="11"/>
        <v>0</v>
      </c>
      <c r="J68" s="41">
        <f t="shared" si="11"/>
        <v>0</v>
      </c>
      <c r="K68" s="41">
        <f t="shared" si="11"/>
        <v>0</v>
      </c>
      <c r="L68" s="41">
        <f t="shared" si="11"/>
        <v>0</v>
      </c>
      <c r="M68" s="41">
        <f t="shared" si="11"/>
        <v>0</v>
      </c>
      <c r="N68" s="41">
        <f t="shared" si="11"/>
        <v>0</v>
      </c>
      <c r="O68" s="41">
        <f t="shared" si="11"/>
        <v>0</v>
      </c>
      <c r="P68" s="11"/>
    </row>
    <row r="69" spans="1:16">
      <c r="D69" t="s">
        <v>112</v>
      </c>
      <c r="E69" s="89">
        <f t="shared" si="8"/>
        <v>0</v>
      </c>
      <c r="F69" s="53">
        <v>0</v>
      </c>
      <c r="G69" s="41">
        <f t="shared" ref="G69:O69" si="12">F69*(1+$E$87)</f>
        <v>0</v>
      </c>
      <c r="H69" s="41">
        <f t="shared" si="12"/>
        <v>0</v>
      </c>
      <c r="I69" s="41">
        <f t="shared" si="12"/>
        <v>0</v>
      </c>
      <c r="J69" s="41">
        <f t="shared" si="12"/>
        <v>0</v>
      </c>
      <c r="K69" s="41">
        <f t="shared" si="12"/>
        <v>0</v>
      </c>
      <c r="L69" s="41">
        <f t="shared" si="12"/>
        <v>0</v>
      </c>
      <c r="M69" s="41">
        <f t="shared" si="12"/>
        <v>0</v>
      </c>
      <c r="N69" s="41">
        <f t="shared" si="12"/>
        <v>0</v>
      </c>
      <c r="O69" s="41">
        <f t="shared" si="12"/>
        <v>0</v>
      </c>
    </row>
    <row r="70" spans="1:16">
      <c r="D70" t="s">
        <v>20</v>
      </c>
      <c r="E70" s="89">
        <f t="shared" si="8"/>
        <v>3.4113175732932133E-3</v>
      </c>
      <c r="F70" s="53">
        <v>1852</v>
      </c>
      <c r="G70" s="41">
        <f t="shared" ref="G70:O70" si="13">F70*(1+$E$86)</f>
        <v>1907.56</v>
      </c>
      <c r="H70" s="41">
        <f t="shared" si="13"/>
        <v>1964.7868000000001</v>
      </c>
      <c r="I70" s="41">
        <f t="shared" si="13"/>
        <v>2023.7304040000001</v>
      </c>
      <c r="J70" s="41">
        <f t="shared" si="13"/>
        <v>2084.4423161200002</v>
      </c>
      <c r="K70" s="41">
        <f t="shared" si="13"/>
        <v>2146.9755856036004</v>
      </c>
      <c r="L70" s="41">
        <f t="shared" si="13"/>
        <v>2211.3848531717085</v>
      </c>
      <c r="M70" s="41">
        <f t="shared" si="13"/>
        <v>2277.7263987668598</v>
      </c>
      <c r="N70" s="41">
        <f t="shared" si="13"/>
        <v>2346.0581907298656</v>
      </c>
      <c r="O70" s="41">
        <f t="shared" si="13"/>
        <v>2416.4399364517617</v>
      </c>
    </row>
    <row r="71" spans="1:16">
      <c r="A71" s="4" t="s">
        <v>60</v>
      </c>
      <c r="B71" s="76">
        <v>0.67</v>
      </c>
      <c r="D71" s="37" t="s">
        <v>21</v>
      </c>
      <c r="E71" s="89">
        <f t="shared" si="8"/>
        <v>1.592009599674581E-2</v>
      </c>
      <c r="F71" s="62">
        <f>(B17*2*B71)</f>
        <v>8643</v>
      </c>
      <c r="G71" s="41">
        <f t="shared" ref="G71:O71" si="14">F71*(1+$E$86)</f>
        <v>8902.2900000000009</v>
      </c>
      <c r="H71" s="41">
        <f t="shared" si="14"/>
        <v>9169.3587000000007</v>
      </c>
      <c r="I71" s="41">
        <f t="shared" si="14"/>
        <v>9444.4394610000018</v>
      </c>
      <c r="J71" s="41">
        <f t="shared" si="14"/>
        <v>9727.7726448300018</v>
      </c>
      <c r="K71" s="41">
        <f t="shared" si="14"/>
        <v>10019.605824174901</v>
      </c>
      <c r="L71" s="41">
        <f t="shared" si="14"/>
        <v>10320.193998900149</v>
      </c>
      <c r="M71" s="41">
        <f t="shared" si="14"/>
        <v>10629.799818867154</v>
      </c>
      <c r="N71" s="41">
        <f t="shared" si="14"/>
        <v>10948.693813433169</v>
      </c>
      <c r="O71" s="41">
        <f t="shared" si="14"/>
        <v>11277.154627836164</v>
      </c>
    </row>
    <row r="72" spans="1:16">
      <c r="D72" t="s">
        <v>22</v>
      </c>
      <c r="E72" s="89">
        <f t="shared" si="8"/>
        <v>2.0659057109568172E-2</v>
      </c>
      <c r="F72" s="62">
        <f>A16*0.01</f>
        <v>11215.775999999998</v>
      </c>
      <c r="G72" s="41">
        <f t="shared" ref="G72:O72" si="15">F72*(1+$E$86)</f>
        <v>11552.249279999998</v>
      </c>
      <c r="H72" s="41">
        <f t="shared" si="15"/>
        <v>11898.816758399998</v>
      </c>
      <c r="I72" s="41">
        <f t="shared" si="15"/>
        <v>12255.781261151998</v>
      </c>
      <c r="J72" s="41">
        <f t="shared" si="15"/>
        <v>12623.454698986559</v>
      </c>
      <c r="K72" s="41">
        <f t="shared" si="15"/>
        <v>13002.158339956157</v>
      </c>
      <c r="L72" s="41">
        <f t="shared" si="15"/>
        <v>13392.223090154843</v>
      </c>
      <c r="M72" s="41">
        <f t="shared" si="15"/>
        <v>13793.989782859488</v>
      </c>
      <c r="N72" s="41">
        <f t="shared" si="15"/>
        <v>14207.809476345272</v>
      </c>
      <c r="O72" s="41">
        <f t="shared" si="15"/>
        <v>14634.04376063563</v>
      </c>
    </row>
    <row r="73" spans="1:16">
      <c r="D73" t="s">
        <v>118</v>
      </c>
      <c r="E73" s="89">
        <f t="shared" si="8"/>
        <v>8.2636228438272685E-3</v>
      </c>
      <c r="F73" s="62">
        <f>A16*0.004</f>
        <v>4486.3103999999994</v>
      </c>
      <c r="G73" s="41">
        <f t="shared" ref="G73:O73" si="16">F73*(1+$E$86)</f>
        <v>4620.8997119999995</v>
      </c>
      <c r="H73" s="41">
        <f t="shared" si="16"/>
        <v>4759.5267033599994</v>
      </c>
      <c r="I73" s="41">
        <f t="shared" si="16"/>
        <v>4902.3125044607996</v>
      </c>
      <c r="J73" s="41">
        <f t="shared" si="16"/>
        <v>5049.3818795946236</v>
      </c>
      <c r="K73" s="41">
        <f t="shared" si="16"/>
        <v>5200.8633359824626</v>
      </c>
      <c r="L73" s="41">
        <f t="shared" si="16"/>
        <v>5356.8892360619366</v>
      </c>
      <c r="M73" s="41">
        <f t="shared" si="16"/>
        <v>5517.5959131437949</v>
      </c>
      <c r="N73" s="41">
        <f t="shared" si="16"/>
        <v>5683.1237905381086</v>
      </c>
      <c r="O73" s="41">
        <f t="shared" si="16"/>
        <v>5853.6175042542518</v>
      </c>
    </row>
    <row r="74" spans="1:16">
      <c r="D74" s="37" t="s">
        <v>23</v>
      </c>
      <c r="E74" s="89">
        <f t="shared" si="8"/>
        <v>2.3761337308575835E-3</v>
      </c>
      <c r="F74" s="62">
        <f>(B17*0.2)</f>
        <v>1290</v>
      </c>
      <c r="G74" s="41">
        <f t="shared" ref="G74:O74" si="17">F74*(1+$E$86)</f>
        <v>1328.7</v>
      </c>
      <c r="H74" s="41">
        <f t="shared" si="17"/>
        <v>1368.5610000000001</v>
      </c>
      <c r="I74" s="41">
        <f t="shared" si="17"/>
        <v>1409.6178300000001</v>
      </c>
      <c r="J74" s="41">
        <f t="shared" si="17"/>
        <v>1451.9063649000002</v>
      </c>
      <c r="K74" s="41">
        <f t="shared" si="17"/>
        <v>1495.4635558470002</v>
      </c>
      <c r="L74" s="41">
        <f t="shared" si="17"/>
        <v>1540.3274625224103</v>
      </c>
      <c r="M74" s="41">
        <f t="shared" si="17"/>
        <v>1586.5372863980826</v>
      </c>
      <c r="N74" s="41">
        <f t="shared" si="17"/>
        <v>1634.1334049900252</v>
      </c>
      <c r="O74" s="41">
        <f t="shared" si="17"/>
        <v>1683.157407139726</v>
      </c>
    </row>
    <row r="75" spans="1:16">
      <c r="D75" t="s">
        <v>24</v>
      </c>
      <c r="E75" s="89">
        <f t="shared" si="8"/>
        <v>9.2098206622386967E-3</v>
      </c>
      <c r="F75" s="53">
        <v>5000</v>
      </c>
      <c r="G75" s="41">
        <f t="shared" ref="G75:O75" si="18">F75*(1+$E$86)</f>
        <v>5150</v>
      </c>
      <c r="H75" s="41">
        <f t="shared" si="18"/>
        <v>5304.5</v>
      </c>
      <c r="I75" s="41">
        <f t="shared" si="18"/>
        <v>5463.6350000000002</v>
      </c>
      <c r="J75" s="41">
        <f t="shared" si="18"/>
        <v>5627.5440500000004</v>
      </c>
      <c r="K75" s="41">
        <f t="shared" si="18"/>
        <v>5796.3703715000001</v>
      </c>
      <c r="L75" s="41">
        <f t="shared" si="18"/>
        <v>5970.2614826449999</v>
      </c>
      <c r="M75" s="41">
        <f t="shared" si="18"/>
        <v>6149.3693271243501</v>
      </c>
      <c r="N75" s="41">
        <f t="shared" si="18"/>
        <v>6333.8504069380806</v>
      </c>
      <c r="O75" s="41">
        <f t="shared" si="18"/>
        <v>6523.865919146223</v>
      </c>
    </row>
    <row r="76" spans="1:16">
      <c r="D76" t="s">
        <v>25</v>
      </c>
      <c r="E76" s="89">
        <f t="shared" si="8"/>
        <v>1.2407470396167972E-2</v>
      </c>
      <c r="F76" s="53">
        <v>6736</v>
      </c>
      <c r="G76" s="41">
        <f t="shared" ref="G76:O76" si="19">F76*(1+$E$86)</f>
        <v>6938.08</v>
      </c>
      <c r="H76" s="41">
        <f t="shared" si="19"/>
        <v>7146.2224000000006</v>
      </c>
      <c r="I76" s="41">
        <f t="shared" si="19"/>
        <v>7360.6090720000011</v>
      </c>
      <c r="J76" s="41">
        <f t="shared" si="19"/>
        <v>7581.4273441600017</v>
      </c>
      <c r="K76" s="41">
        <f t="shared" si="19"/>
        <v>7808.8701644848015</v>
      </c>
      <c r="L76" s="41">
        <f t="shared" si="19"/>
        <v>8043.1362694193458</v>
      </c>
      <c r="M76" s="41">
        <f t="shared" si="19"/>
        <v>8284.4303575019258</v>
      </c>
      <c r="N76" s="41">
        <f t="shared" si="19"/>
        <v>8532.9632682269839</v>
      </c>
      <c r="O76" s="41">
        <f t="shared" si="19"/>
        <v>8788.9521662737934</v>
      </c>
    </row>
    <row r="77" spans="1:16">
      <c r="D77" t="s">
        <v>26</v>
      </c>
      <c r="E77" s="89">
        <f t="shared" si="8"/>
        <v>4.6049103311193482E-2</v>
      </c>
      <c r="F77" s="53">
        <v>25000</v>
      </c>
      <c r="G77" s="41">
        <f t="shared" ref="G77:O77" si="20">F77*(1+$E$86)</f>
        <v>25750</v>
      </c>
      <c r="H77" s="41">
        <f t="shared" si="20"/>
        <v>26522.5</v>
      </c>
      <c r="I77" s="41">
        <f t="shared" si="20"/>
        <v>27318.174999999999</v>
      </c>
      <c r="J77" s="41">
        <f t="shared" si="20"/>
        <v>28137.720249999998</v>
      </c>
      <c r="K77" s="41">
        <f t="shared" si="20"/>
        <v>28981.851857499998</v>
      </c>
      <c r="L77" s="41">
        <f t="shared" si="20"/>
        <v>29851.307413225</v>
      </c>
      <c r="M77" s="41">
        <f t="shared" si="20"/>
        <v>30746.84663562175</v>
      </c>
      <c r="N77" s="41">
        <f t="shared" si="20"/>
        <v>31669.252034690402</v>
      </c>
      <c r="O77" s="41">
        <f t="shared" si="20"/>
        <v>32619.329595731117</v>
      </c>
    </row>
    <row r="78" spans="1:16">
      <c r="D78" t="s">
        <v>27</v>
      </c>
      <c r="E78" s="89">
        <f t="shared" si="8"/>
        <v>2.3485042688708675E-2</v>
      </c>
      <c r="F78" s="53">
        <v>12750</v>
      </c>
      <c r="G78" s="41">
        <f t="shared" ref="G78:O78" si="21">F78*(1+$E$86)</f>
        <v>13132.5</v>
      </c>
      <c r="H78" s="41">
        <f t="shared" si="21"/>
        <v>13526.475</v>
      </c>
      <c r="I78" s="41">
        <f t="shared" si="21"/>
        <v>13932.269250000001</v>
      </c>
      <c r="J78" s="41">
        <f t="shared" si="21"/>
        <v>14350.237327500001</v>
      </c>
      <c r="K78" s="41">
        <f t="shared" si="21"/>
        <v>14780.744447325002</v>
      </c>
      <c r="L78" s="41">
        <f t="shared" si="21"/>
        <v>15224.166780744752</v>
      </c>
      <c r="M78" s="41">
        <f t="shared" si="21"/>
        <v>15680.891784167095</v>
      </c>
      <c r="N78" s="41">
        <f t="shared" si="21"/>
        <v>16151.318537692108</v>
      </c>
      <c r="O78" s="41">
        <f t="shared" si="21"/>
        <v>16635.858093822873</v>
      </c>
    </row>
    <row r="79" spans="1:16">
      <c r="A79" s="4" t="s">
        <v>110</v>
      </c>
      <c r="B79" s="53">
        <f>(E33/220)</f>
        <v>18.382499999999997</v>
      </c>
      <c r="D79" t="s">
        <v>28</v>
      </c>
      <c r="E79" s="89">
        <f t="shared" si="8"/>
        <v>7.9232179255446122E-2</v>
      </c>
      <c r="F79" s="53">
        <f>(B79*B80*52)</f>
        <v>43015.049999999996</v>
      </c>
      <c r="G79" s="41">
        <f t="shared" ref="G79:O79" si="22">F79*(1+$E$86)</f>
        <v>44305.501499999998</v>
      </c>
      <c r="H79" s="41">
        <f t="shared" si="22"/>
        <v>45634.666545</v>
      </c>
      <c r="I79" s="41">
        <f t="shared" si="22"/>
        <v>47003.706541350002</v>
      </c>
      <c r="J79" s="41">
        <f t="shared" si="22"/>
        <v>48413.817737590507</v>
      </c>
      <c r="K79" s="41">
        <f t="shared" si="22"/>
        <v>49866.232269718224</v>
      </c>
      <c r="L79" s="41">
        <f t="shared" si="22"/>
        <v>51362.219237809775</v>
      </c>
      <c r="M79" s="41">
        <f t="shared" si="22"/>
        <v>52903.085814944068</v>
      </c>
      <c r="N79" s="41">
        <f t="shared" si="22"/>
        <v>54490.178389392393</v>
      </c>
      <c r="O79" s="41">
        <f t="shared" si="22"/>
        <v>56124.883741074169</v>
      </c>
    </row>
    <row r="80" spans="1:16">
      <c r="A80" s="4" t="s">
        <v>111</v>
      </c>
      <c r="B80" s="93">
        <v>45</v>
      </c>
      <c r="D80" t="s">
        <v>29</v>
      </c>
      <c r="E80" s="89">
        <f t="shared" si="8"/>
        <v>4.1444192980074138E-3</v>
      </c>
      <c r="F80" s="53">
        <v>2250</v>
      </c>
      <c r="G80" s="41">
        <f t="shared" ref="G80:O80" si="23">F80*(1+$E$86)</f>
        <v>2317.5</v>
      </c>
      <c r="H80" s="41">
        <f t="shared" si="23"/>
        <v>2387.0250000000001</v>
      </c>
      <c r="I80" s="41">
        <f t="shared" si="23"/>
        <v>2458.6357500000004</v>
      </c>
      <c r="J80" s="41">
        <f t="shared" si="23"/>
        <v>2532.3948225000004</v>
      </c>
      <c r="K80" s="41">
        <f t="shared" si="23"/>
        <v>2608.3666671750007</v>
      </c>
      <c r="L80" s="41">
        <f t="shared" si="23"/>
        <v>2686.6176671902508</v>
      </c>
      <c r="M80" s="41">
        <f t="shared" si="23"/>
        <v>2767.2161972059585</v>
      </c>
      <c r="N80" s="41">
        <f t="shared" si="23"/>
        <v>2850.2326831221371</v>
      </c>
      <c r="O80" s="41">
        <f t="shared" si="23"/>
        <v>2935.7396636158014</v>
      </c>
    </row>
    <row r="81" spans="1:16">
      <c r="D81" t="s">
        <v>30</v>
      </c>
      <c r="E81" s="89">
        <f t="shared" si="8"/>
        <v>3.453682748339511E-3</v>
      </c>
      <c r="F81" s="53">
        <v>1875</v>
      </c>
      <c r="G81" s="41">
        <f t="shared" ref="G81:O81" si="24">F81*(1+$E$86)</f>
        <v>1931.25</v>
      </c>
      <c r="H81" s="41">
        <f t="shared" si="24"/>
        <v>1989.1875</v>
      </c>
      <c r="I81" s="41">
        <f t="shared" si="24"/>
        <v>2048.8631249999999</v>
      </c>
      <c r="J81" s="41">
        <f t="shared" si="24"/>
        <v>2110.3290187499997</v>
      </c>
      <c r="K81" s="41">
        <f t="shared" si="24"/>
        <v>2173.6388893124999</v>
      </c>
      <c r="L81" s="41">
        <f t="shared" si="24"/>
        <v>2238.8480559918748</v>
      </c>
      <c r="M81" s="41">
        <f t="shared" si="24"/>
        <v>2306.0134976716313</v>
      </c>
      <c r="N81" s="41">
        <f t="shared" si="24"/>
        <v>2375.1939026017803</v>
      </c>
      <c r="O81" s="41">
        <f t="shared" si="24"/>
        <v>2446.4497196798338</v>
      </c>
    </row>
    <row r="82" spans="1:16">
      <c r="D82" t="s">
        <v>96</v>
      </c>
      <c r="E82" s="89">
        <f t="shared" si="8"/>
        <v>0.10499195554952113</v>
      </c>
      <c r="F82" s="53">
        <f>(4750*12)</f>
        <v>57000</v>
      </c>
      <c r="G82" s="41">
        <f t="shared" ref="G82:O82" si="25">F82*(1+$E$86)</f>
        <v>58710</v>
      </c>
      <c r="H82" s="41">
        <f t="shared" si="25"/>
        <v>60471.3</v>
      </c>
      <c r="I82" s="41">
        <f t="shared" si="25"/>
        <v>62285.439000000006</v>
      </c>
      <c r="J82" s="41">
        <f t="shared" si="25"/>
        <v>64154.002170000007</v>
      </c>
      <c r="K82" s="41">
        <f t="shared" si="25"/>
        <v>66078.622235100003</v>
      </c>
      <c r="L82" s="41">
        <f t="shared" si="25"/>
        <v>68060.980902153009</v>
      </c>
      <c r="M82" s="41">
        <f t="shared" si="25"/>
        <v>70102.810329217595</v>
      </c>
      <c r="N82" s="41">
        <f t="shared" si="25"/>
        <v>72205.894639094127</v>
      </c>
      <c r="O82" s="41">
        <f t="shared" si="25"/>
        <v>74372.071478266953</v>
      </c>
      <c r="P82" s="13"/>
    </row>
    <row r="83" spans="1:16">
      <c r="D83" s="7" t="s">
        <v>8</v>
      </c>
      <c r="E83" s="90">
        <f t="shared" si="8"/>
        <v>1</v>
      </c>
      <c r="F83" s="52">
        <f>SUM(F65:F82)</f>
        <v>542898.73640000005</v>
      </c>
      <c r="G83" s="45">
        <f t="shared" ref="G83:O83" si="26">SUM(G65:G82)</f>
        <v>569135.33049199998</v>
      </c>
      <c r="H83" s="45">
        <f t="shared" si="26"/>
        <v>597153.98560676014</v>
      </c>
      <c r="I83" s="45">
        <f t="shared" si="26"/>
        <v>627107.65989496303</v>
      </c>
      <c r="J83" s="45">
        <f t="shared" si="26"/>
        <v>659163.84988381178</v>
      </c>
      <c r="K83" s="45">
        <f t="shared" si="26"/>
        <v>693506.02159152611</v>
      </c>
      <c r="L83" s="45">
        <f t="shared" si="26"/>
        <v>730335.18407159206</v>
      </c>
      <c r="M83" s="45">
        <f t="shared" si="26"/>
        <v>769871.61960929178</v>
      </c>
      <c r="N83" s="45">
        <f t="shared" si="26"/>
        <v>812356.78621467773</v>
      </c>
      <c r="O83" s="45">
        <f t="shared" si="26"/>
        <v>858055.40961993614</v>
      </c>
    </row>
    <row r="84" spans="1:16">
      <c r="D84" s="8" t="s">
        <v>9</v>
      </c>
      <c r="F84" s="33">
        <f>F83</f>
        <v>542898.73640000005</v>
      </c>
      <c r="G84" s="36">
        <f t="shared" ref="G84:O84" si="27">G83</f>
        <v>569135.33049199998</v>
      </c>
      <c r="H84" s="36">
        <f t="shared" si="27"/>
        <v>597153.98560676014</v>
      </c>
      <c r="I84" s="36">
        <f t="shared" si="27"/>
        <v>627107.65989496303</v>
      </c>
      <c r="J84" s="36">
        <f t="shared" si="27"/>
        <v>659163.84988381178</v>
      </c>
      <c r="K84" s="36">
        <f t="shared" si="27"/>
        <v>693506.02159152611</v>
      </c>
      <c r="L84" s="36">
        <f t="shared" si="27"/>
        <v>730335.18407159206</v>
      </c>
      <c r="M84" s="36">
        <f t="shared" si="27"/>
        <v>769871.61960929178</v>
      </c>
      <c r="N84" s="36">
        <f t="shared" si="27"/>
        <v>812356.78621467773</v>
      </c>
      <c r="O84" s="36">
        <f t="shared" si="27"/>
        <v>858055.40961993614</v>
      </c>
    </row>
    <row r="85" spans="1:16">
      <c r="D85" t="s">
        <v>116</v>
      </c>
    </row>
    <row r="86" spans="1:16">
      <c r="D86" t="s">
        <v>17</v>
      </c>
      <c r="E86" s="51">
        <v>0.03</v>
      </c>
    </row>
    <row r="87" spans="1:16">
      <c r="D87" t="s">
        <v>18</v>
      </c>
      <c r="E87" s="54">
        <v>0.1</v>
      </c>
    </row>
    <row r="90" spans="1:16">
      <c r="A90" s="23" t="s">
        <v>11</v>
      </c>
      <c r="B90" s="18"/>
      <c r="C90" s="18"/>
      <c r="D90" s="17" t="s">
        <v>2</v>
      </c>
      <c r="E90" s="16">
        <v>0</v>
      </c>
      <c r="F90" s="16">
        <v>1</v>
      </c>
      <c r="G90" s="16">
        <f>F90+1</f>
        <v>2</v>
      </c>
      <c r="H90" s="16">
        <f t="shared" ref="H90:O90" si="28">G90+1</f>
        <v>3</v>
      </c>
      <c r="I90" s="16">
        <f t="shared" si="28"/>
        <v>4</v>
      </c>
      <c r="J90" s="16">
        <f t="shared" si="28"/>
        <v>5</v>
      </c>
      <c r="K90" s="16">
        <f t="shared" si="28"/>
        <v>6</v>
      </c>
      <c r="L90" s="16">
        <f t="shared" si="28"/>
        <v>7</v>
      </c>
      <c r="M90" s="16">
        <f t="shared" si="28"/>
        <v>8</v>
      </c>
      <c r="N90" s="16">
        <f t="shared" si="28"/>
        <v>9</v>
      </c>
      <c r="O90" s="16">
        <f t="shared" si="28"/>
        <v>10</v>
      </c>
    </row>
    <row r="91" spans="1:16">
      <c r="A91" s="6"/>
      <c r="D91" s="6" t="s">
        <v>113</v>
      </c>
      <c r="F91" s="41">
        <f t="shared" ref="F91:O91" si="29">F20</f>
        <v>960435.95999999985</v>
      </c>
      <c r="G91" s="41">
        <f t="shared" si="29"/>
        <v>989249.03879999986</v>
      </c>
      <c r="H91" s="41">
        <f t="shared" si="29"/>
        <v>1018926.509964</v>
      </c>
      <c r="I91" s="41">
        <f t="shared" si="29"/>
        <v>1049494.30526292</v>
      </c>
      <c r="J91" s="41">
        <f t="shared" si="29"/>
        <v>1080979.1344208077</v>
      </c>
      <c r="K91" s="41">
        <f t="shared" si="29"/>
        <v>1113408.5084534318</v>
      </c>
      <c r="L91" s="41">
        <f t="shared" si="29"/>
        <v>1146810.7637070348</v>
      </c>
      <c r="M91" s="41">
        <f t="shared" si="29"/>
        <v>1181215.0866182458</v>
      </c>
      <c r="N91" s="41">
        <f t="shared" si="29"/>
        <v>1216651.5392167931</v>
      </c>
      <c r="O91" s="41">
        <f t="shared" si="29"/>
        <v>1253151.085393297</v>
      </c>
    </row>
    <row r="92" spans="1:16">
      <c r="A92" s="8" t="s">
        <v>98</v>
      </c>
      <c r="B92" s="91">
        <f>-E48</f>
        <v>-1025433.7999999999</v>
      </c>
      <c r="D92" s="6" t="s">
        <v>13</v>
      </c>
      <c r="F92" s="42">
        <f>(-F84)</f>
        <v>-542898.73640000005</v>
      </c>
      <c r="G92" s="42">
        <f t="shared" ref="G92:O92" si="30">(-G84)</f>
        <v>-569135.33049199998</v>
      </c>
      <c r="H92" s="42">
        <f t="shared" si="30"/>
        <v>-597153.98560676014</v>
      </c>
      <c r="I92" s="42">
        <f t="shared" si="30"/>
        <v>-627107.65989496303</v>
      </c>
      <c r="J92" s="42">
        <f t="shared" si="30"/>
        <v>-659163.84988381178</v>
      </c>
      <c r="K92" s="42">
        <f t="shared" si="30"/>
        <v>-693506.02159152611</v>
      </c>
      <c r="L92" s="42">
        <f t="shared" si="30"/>
        <v>-730335.18407159206</v>
      </c>
      <c r="M92" s="42">
        <f t="shared" si="30"/>
        <v>-769871.61960929178</v>
      </c>
      <c r="N92" s="42">
        <f t="shared" si="30"/>
        <v>-812356.78621467773</v>
      </c>
      <c r="O92" s="42">
        <f t="shared" si="30"/>
        <v>-858055.40961993614</v>
      </c>
    </row>
    <row r="93" spans="1:16">
      <c r="C93">
        <v>10</v>
      </c>
      <c r="D93" s="6" t="s">
        <v>12</v>
      </c>
      <c r="F93" s="42">
        <f t="shared" ref="F93:O93" si="31">(-$B$92/$C$93)</f>
        <v>102543.37999999999</v>
      </c>
      <c r="G93" s="42">
        <f t="shared" si="31"/>
        <v>102543.37999999999</v>
      </c>
      <c r="H93" s="42">
        <f t="shared" si="31"/>
        <v>102543.37999999999</v>
      </c>
      <c r="I93" s="42">
        <f t="shared" si="31"/>
        <v>102543.37999999999</v>
      </c>
      <c r="J93" s="42">
        <f t="shared" si="31"/>
        <v>102543.37999999999</v>
      </c>
      <c r="K93" s="42">
        <f t="shared" si="31"/>
        <v>102543.37999999999</v>
      </c>
      <c r="L93" s="42">
        <f t="shared" si="31"/>
        <v>102543.37999999999</v>
      </c>
      <c r="M93" s="42">
        <f t="shared" si="31"/>
        <v>102543.37999999999</v>
      </c>
      <c r="N93" s="42">
        <f t="shared" si="31"/>
        <v>102543.37999999999</v>
      </c>
      <c r="O93" s="42">
        <f t="shared" si="31"/>
        <v>102543.37999999999</v>
      </c>
    </row>
    <row r="94" spans="1:16">
      <c r="D94" s="6" t="s">
        <v>143</v>
      </c>
      <c r="F94" s="42"/>
      <c r="G94" s="42"/>
      <c r="H94" s="42"/>
      <c r="I94" s="42"/>
      <c r="J94" s="42"/>
      <c r="K94" s="42"/>
      <c r="L94" s="42"/>
      <c r="M94" s="42"/>
      <c r="N94" s="42"/>
      <c r="O94" s="42"/>
    </row>
    <row r="95" spans="1:16">
      <c r="D95" s="6" t="s">
        <v>14</v>
      </c>
      <c r="F95" s="43">
        <f>F124</f>
        <v>-63161.770285714279</v>
      </c>
      <c r="G95" s="43">
        <f t="shared" ref="G95:L95" si="32">G124</f>
        <v>-63161.770285714279</v>
      </c>
      <c r="H95" s="43">
        <f t="shared" si="32"/>
        <v>-63161.770285714279</v>
      </c>
      <c r="I95" s="43">
        <f t="shared" si="32"/>
        <v>-63161.770285714279</v>
      </c>
      <c r="J95" s="43">
        <f t="shared" si="32"/>
        <v>-63161.770285714279</v>
      </c>
      <c r="K95" s="43">
        <f t="shared" si="32"/>
        <v>-63161.770285714279</v>
      </c>
      <c r="L95" s="43">
        <f t="shared" si="32"/>
        <v>-63161.770285714279</v>
      </c>
      <c r="M95" s="44"/>
      <c r="N95" s="44"/>
      <c r="O95" s="44"/>
    </row>
    <row r="96" spans="1:16">
      <c r="D96" s="6" t="s">
        <v>114</v>
      </c>
      <c r="F96" s="68">
        <f t="shared" ref="F96:O96" si="33">F19</f>
        <v>743130.29999999993</v>
      </c>
      <c r="G96" s="68">
        <f t="shared" si="33"/>
        <v>765424.20899999992</v>
      </c>
      <c r="H96" s="68">
        <f t="shared" si="33"/>
        <v>788386.93527000002</v>
      </c>
      <c r="I96" s="68">
        <f t="shared" si="33"/>
        <v>812038.5433281</v>
      </c>
      <c r="J96" s="68">
        <f t="shared" si="33"/>
        <v>836399.6996279431</v>
      </c>
      <c r="K96" s="68">
        <f t="shared" si="33"/>
        <v>861491.69061678147</v>
      </c>
      <c r="L96" s="68">
        <f t="shared" si="33"/>
        <v>887336.44133528497</v>
      </c>
      <c r="M96" s="69">
        <f t="shared" si="33"/>
        <v>913956.53457534348</v>
      </c>
      <c r="N96" s="69">
        <f t="shared" si="33"/>
        <v>941375.23061260383</v>
      </c>
      <c r="O96" s="69">
        <f t="shared" si="33"/>
        <v>969616.48753098201</v>
      </c>
    </row>
    <row r="97" spans="1:15">
      <c r="D97" s="8" t="s">
        <v>55</v>
      </c>
      <c r="F97" s="70">
        <f t="shared" ref="F97:O97" si="34">SUM(F92:F96)</f>
        <v>239613.17331428558</v>
      </c>
      <c r="G97" s="70">
        <f t="shared" si="34"/>
        <v>235670.48822228564</v>
      </c>
      <c r="H97" s="70">
        <f t="shared" si="34"/>
        <v>230614.55937752558</v>
      </c>
      <c r="I97" s="70">
        <f t="shared" si="34"/>
        <v>224312.49314742268</v>
      </c>
      <c r="J97" s="70">
        <f t="shared" si="34"/>
        <v>216617.45945841703</v>
      </c>
      <c r="K97" s="70">
        <f t="shared" si="34"/>
        <v>207367.27873954107</v>
      </c>
      <c r="L97" s="70">
        <f t="shared" si="34"/>
        <v>196382.86697797861</v>
      </c>
      <c r="M97" s="70">
        <f t="shared" si="34"/>
        <v>246628.2949660517</v>
      </c>
      <c r="N97" s="70">
        <f t="shared" si="34"/>
        <v>231561.8243979261</v>
      </c>
      <c r="O97" s="70">
        <f t="shared" si="34"/>
        <v>214104.45791104587</v>
      </c>
    </row>
    <row r="98" spans="1:15">
      <c r="D98" s="8" t="s">
        <v>69</v>
      </c>
      <c r="F98" s="40">
        <f>SUM(F91:F95)</f>
        <v>456918.8333142855</v>
      </c>
      <c r="G98" s="36">
        <f>SUM(G91:G95)</f>
        <v>459495.31802228559</v>
      </c>
      <c r="H98" s="36">
        <f t="shared" ref="H98:O98" si="35">SUM(H91:H95)</f>
        <v>461154.13407152554</v>
      </c>
      <c r="I98" s="36">
        <f t="shared" si="35"/>
        <v>461768.25508224266</v>
      </c>
      <c r="J98" s="36">
        <f t="shared" si="35"/>
        <v>461196.89425128163</v>
      </c>
      <c r="K98" s="36">
        <f t="shared" si="35"/>
        <v>459284.09657619137</v>
      </c>
      <c r="L98" s="36">
        <f t="shared" si="35"/>
        <v>455857.1893497284</v>
      </c>
      <c r="M98" s="36">
        <f t="shared" si="35"/>
        <v>513886.84700895404</v>
      </c>
      <c r="N98" s="36">
        <f t="shared" si="35"/>
        <v>506838.13300211541</v>
      </c>
      <c r="O98" s="36">
        <f t="shared" si="35"/>
        <v>497639.05577336089</v>
      </c>
    </row>
    <row r="99" spans="1:15">
      <c r="D99" s="8"/>
      <c r="F99" s="71"/>
      <c r="G99" s="72"/>
      <c r="H99" s="72"/>
      <c r="I99" s="72"/>
      <c r="J99" s="72"/>
      <c r="K99" s="72"/>
      <c r="L99" s="72"/>
      <c r="M99" s="72"/>
      <c r="N99" s="72"/>
      <c r="O99" s="72"/>
    </row>
    <row r="100" spans="1:15">
      <c r="D100" s="8"/>
      <c r="F100" s="71"/>
      <c r="G100" s="72"/>
      <c r="H100" s="72"/>
      <c r="I100" s="72"/>
      <c r="J100" s="72"/>
      <c r="K100" s="72"/>
      <c r="L100" s="72"/>
      <c r="M100" s="72"/>
      <c r="N100" s="72"/>
      <c r="O100" s="72"/>
    </row>
    <row r="101" spans="1:15">
      <c r="C101" s="10"/>
      <c r="D101" s="6" t="s">
        <v>58</v>
      </c>
      <c r="F101" s="71">
        <f>IF(F97&lt;0,0,F97*$C$104)</f>
        <v>59903.293328571395</v>
      </c>
      <c r="G101" s="72">
        <f>IF(G97&lt;0,0,G97*$C$104)</f>
        <v>58917.62205557141</v>
      </c>
      <c r="H101" s="72">
        <f t="shared" ref="H101:O101" si="36">IF(H97&lt;0,0,H97*$C$104)</f>
        <v>57653.639844381396</v>
      </c>
      <c r="I101" s="72">
        <f t="shared" si="36"/>
        <v>56078.123286855669</v>
      </c>
      <c r="J101" s="72">
        <f t="shared" si="36"/>
        <v>54154.364864604257</v>
      </c>
      <c r="K101" s="72">
        <f t="shared" si="36"/>
        <v>51841.819684885268</v>
      </c>
      <c r="L101" s="72">
        <f t="shared" si="36"/>
        <v>49095.716744494654</v>
      </c>
      <c r="M101" s="72">
        <f t="shared" si="36"/>
        <v>61657.073741512926</v>
      </c>
      <c r="N101" s="72">
        <f t="shared" si="36"/>
        <v>57890.456099481526</v>
      </c>
      <c r="O101" s="72">
        <f t="shared" si="36"/>
        <v>53526.114477761468</v>
      </c>
    </row>
    <row r="102" spans="1:15">
      <c r="D102" s="8" t="s">
        <v>56</v>
      </c>
      <c r="F102" s="71">
        <f>F97-F101</f>
        <v>179709.87998571419</v>
      </c>
      <c r="G102" s="72">
        <f>G97-G101</f>
        <v>176752.86616671423</v>
      </c>
      <c r="H102" s="72">
        <f t="shared" ref="H102:O102" si="37">H97-H101</f>
        <v>172960.91953314419</v>
      </c>
      <c r="I102" s="72">
        <f t="shared" si="37"/>
        <v>168234.36986056701</v>
      </c>
      <c r="J102" s="72">
        <f t="shared" si="37"/>
        <v>162463.09459381277</v>
      </c>
      <c r="K102" s="72">
        <f t="shared" si="37"/>
        <v>155525.4590546558</v>
      </c>
      <c r="L102" s="72">
        <f t="shared" si="37"/>
        <v>147287.15023348396</v>
      </c>
      <c r="M102" s="72">
        <f t="shared" si="37"/>
        <v>184971.22122453878</v>
      </c>
      <c r="N102" s="72">
        <f t="shared" si="37"/>
        <v>173671.36829844458</v>
      </c>
      <c r="O102" s="72">
        <f t="shared" si="37"/>
        <v>160578.3434332844</v>
      </c>
    </row>
    <row r="103" spans="1:15">
      <c r="C103" s="8" t="s">
        <v>99</v>
      </c>
    </row>
    <row r="104" spans="1:15">
      <c r="C104" s="92">
        <v>0.25</v>
      </c>
      <c r="D104" s="6" t="s">
        <v>90</v>
      </c>
      <c r="F104" s="41">
        <f>IF(F98&lt;0,0,F98*$C$104)</f>
        <v>114229.70832857137</v>
      </c>
      <c r="G104" s="41">
        <f t="shared" ref="G104:O104" si="38">IF(G98&lt;0,0,G98*$C$104)</f>
        <v>114873.8295055714</v>
      </c>
      <c r="H104" s="41">
        <f t="shared" si="38"/>
        <v>115288.53351788138</v>
      </c>
      <c r="I104" s="41">
        <f t="shared" si="38"/>
        <v>115442.06377056066</v>
      </c>
      <c r="J104" s="41">
        <f t="shared" si="38"/>
        <v>115299.22356282041</v>
      </c>
      <c r="K104" s="41">
        <f t="shared" si="38"/>
        <v>114821.02414404784</v>
      </c>
      <c r="L104" s="41">
        <f t="shared" si="38"/>
        <v>113964.2973374321</v>
      </c>
      <c r="M104" s="41">
        <f t="shared" si="38"/>
        <v>128471.71175223851</v>
      </c>
      <c r="N104" s="41">
        <f t="shared" si="38"/>
        <v>126709.53325052885</v>
      </c>
      <c r="O104" s="41">
        <f t="shared" si="38"/>
        <v>124409.76394334022</v>
      </c>
    </row>
    <row r="105" spans="1:15">
      <c r="D105" s="21" t="s">
        <v>70</v>
      </c>
      <c r="E105" s="22"/>
      <c r="F105" s="45">
        <f t="shared" ref="F105:O105" si="39">F98-F104</f>
        <v>342689.12498571409</v>
      </c>
      <c r="G105" s="45">
        <f t="shared" si="39"/>
        <v>344621.48851671419</v>
      </c>
      <c r="H105" s="45">
        <f t="shared" si="39"/>
        <v>345865.60055364412</v>
      </c>
      <c r="I105" s="45">
        <f t="shared" si="39"/>
        <v>346326.19131168199</v>
      </c>
      <c r="J105" s="45">
        <f t="shared" si="39"/>
        <v>345897.67068846122</v>
      </c>
      <c r="K105" s="45">
        <f t="shared" si="39"/>
        <v>344463.0724321435</v>
      </c>
      <c r="L105" s="45">
        <f t="shared" si="39"/>
        <v>341892.8920122963</v>
      </c>
      <c r="M105" s="45">
        <f t="shared" si="39"/>
        <v>385415.13525671553</v>
      </c>
      <c r="N105" s="45">
        <f t="shared" si="39"/>
        <v>380128.59975158656</v>
      </c>
      <c r="O105" s="45">
        <f t="shared" si="39"/>
        <v>373229.29183002067</v>
      </c>
    </row>
    <row r="106" spans="1:15">
      <c r="D106" s="6" t="s">
        <v>12</v>
      </c>
      <c r="F106" s="36">
        <f>F93</f>
        <v>102543.37999999999</v>
      </c>
      <c r="G106" s="36">
        <f t="shared" ref="G106:O106" si="40">G93</f>
        <v>102543.37999999999</v>
      </c>
      <c r="H106" s="36">
        <f t="shared" si="40"/>
        <v>102543.37999999999</v>
      </c>
      <c r="I106" s="36">
        <f t="shared" si="40"/>
        <v>102543.37999999999</v>
      </c>
      <c r="J106" s="36">
        <f t="shared" si="40"/>
        <v>102543.37999999999</v>
      </c>
      <c r="K106" s="36">
        <f t="shared" si="40"/>
        <v>102543.37999999999</v>
      </c>
      <c r="L106" s="36">
        <f t="shared" si="40"/>
        <v>102543.37999999999</v>
      </c>
      <c r="M106" s="36">
        <f t="shared" si="40"/>
        <v>102543.37999999999</v>
      </c>
      <c r="N106" s="36">
        <f t="shared" si="40"/>
        <v>102543.37999999999</v>
      </c>
      <c r="O106" s="36">
        <f t="shared" si="40"/>
        <v>102543.37999999999</v>
      </c>
    </row>
    <row r="107" spans="1:15">
      <c r="A107" s="73" t="s">
        <v>31</v>
      </c>
      <c r="B107" s="74"/>
      <c r="D107" s="6"/>
    </row>
    <row r="108" spans="1:15">
      <c r="A108" s="75"/>
      <c r="B108" s="75"/>
      <c r="C108" s="75"/>
      <c r="D108" s="8" t="s">
        <v>57</v>
      </c>
    </row>
    <row r="109" spans="1:15">
      <c r="A109" s="75"/>
      <c r="B109" s="75"/>
      <c r="C109" s="75"/>
      <c r="D109" s="6" t="s">
        <v>89</v>
      </c>
      <c r="F109" s="12">
        <f t="shared" ref="F109:O109" si="41">F102+F106+F125</f>
        <v>149237.87801120518</v>
      </c>
      <c r="G109" s="12">
        <f t="shared" si="41"/>
        <v>146280.86419220525</v>
      </c>
      <c r="H109" s="2">
        <f t="shared" si="41"/>
        <v>142488.91755863518</v>
      </c>
      <c r="I109" s="2">
        <f t="shared" si="41"/>
        <v>137762.367886058</v>
      </c>
      <c r="J109" s="2">
        <f t="shared" si="41"/>
        <v>131991.09261930379</v>
      </c>
      <c r="K109" s="2">
        <f t="shared" si="41"/>
        <v>125053.45708014682</v>
      </c>
      <c r="L109" s="2">
        <f t="shared" si="41"/>
        <v>116815.14825897495</v>
      </c>
      <c r="M109" s="2">
        <f t="shared" si="41"/>
        <v>287514.60122453875</v>
      </c>
      <c r="N109" s="2">
        <f t="shared" si="41"/>
        <v>276214.74829844455</v>
      </c>
      <c r="O109" s="2">
        <f t="shared" si="41"/>
        <v>263121.72343328438</v>
      </c>
    </row>
    <row r="110" spans="1:15">
      <c r="A110" s="75"/>
      <c r="B110" s="75"/>
      <c r="C110" s="75"/>
      <c r="D110" s="6"/>
      <c r="F110" s="12"/>
      <c r="G110" s="12"/>
      <c r="H110" s="2"/>
      <c r="I110" s="2"/>
      <c r="J110" s="2"/>
      <c r="K110" s="2"/>
      <c r="L110" s="2"/>
      <c r="M110" s="2"/>
      <c r="N110" s="2"/>
      <c r="O110" s="2"/>
    </row>
    <row r="111" spans="1:15">
      <c r="A111" s="75"/>
      <c r="B111" s="75"/>
      <c r="C111" s="75"/>
      <c r="D111" s="21" t="s">
        <v>71</v>
      </c>
      <c r="E111" s="22"/>
      <c r="F111" s="22"/>
      <c r="G111" s="22"/>
      <c r="H111" s="22"/>
      <c r="I111" s="22"/>
      <c r="J111" s="22"/>
      <c r="K111" s="22"/>
      <c r="L111" s="22"/>
      <c r="M111" s="22"/>
      <c r="N111" s="22"/>
      <c r="O111" s="22"/>
    </row>
    <row r="112" spans="1:15">
      <c r="D112" s="6" t="s">
        <v>89</v>
      </c>
      <c r="F112" s="2">
        <f>F105+F106+F125</f>
        <v>312217.12301120511</v>
      </c>
      <c r="G112" s="2">
        <f t="shared" ref="G112:O112" si="42">G105+G106+G125</f>
        <v>314149.48654220521</v>
      </c>
      <c r="H112" s="2">
        <f t="shared" si="42"/>
        <v>315393.59857913514</v>
      </c>
      <c r="I112" s="2">
        <f t="shared" si="42"/>
        <v>315854.18933717301</v>
      </c>
      <c r="J112" s="2">
        <f t="shared" si="42"/>
        <v>315425.66871395224</v>
      </c>
      <c r="K112" s="2">
        <f t="shared" si="42"/>
        <v>313991.07045763452</v>
      </c>
      <c r="L112" s="2">
        <f t="shared" si="42"/>
        <v>311420.89003778732</v>
      </c>
      <c r="M112" s="2">
        <f t="shared" si="42"/>
        <v>487958.51525671553</v>
      </c>
      <c r="N112" s="2">
        <f t="shared" si="42"/>
        <v>482671.97975158656</v>
      </c>
      <c r="O112" s="2">
        <f t="shared" si="42"/>
        <v>475772.67183002067</v>
      </c>
    </row>
    <row r="116" spans="1:15">
      <c r="A116" s="23" t="s">
        <v>34</v>
      </c>
      <c r="B116" s="18"/>
      <c r="C116" s="18"/>
      <c r="D116" s="17" t="s">
        <v>2</v>
      </c>
      <c r="E116" s="16">
        <v>0</v>
      </c>
      <c r="F116" s="16">
        <v>1</v>
      </c>
      <c r="G116" s="16">
        <f t="shared" ref="G116:O116" si="43">F116+1</f>
        <v>2</v>
      </c>
      <c r="H116" s="16">
        <f t="shared" si="43"/>
        <v>3</v>
      </c>
      <c r="I116" s="16">
        <f t="shared" si="43"/>
        <v>4</v>
      </c>
      <c r="J116" s="16">
        <f t="shared" si="43"/>
        <v>5</v>
      </c>
      <c r="K116" s="16">
        <f t="shared" si="43"/>
        <v>6</v>
      </c>
      <c r="L116" s="16">
        <f t="shared" si="43"/>
        <v>7</v>
      </c>
      <c r="M116" s="16">
        <f t="shared" si="43"/>
        <v>8</v>
      </c>
      <c r="N116" s="16">
        <f t="shared" si="43"/>
        <v>9</v>
      </c>
      <c r="O116" s="16">
        <f t="shared" si="43"/>
        <v>10</v>
      </c>
    </row>
    <row r="117" spans="1:15">
      <c r="A117" s="6" t="s">
        <v>35</v>
      </c>
      <c r="D117" s="8" t="s">
        <v>32</v>
      </c>
      <c r="F117" s="26">
        <f>PV(0.01,84,SUM(F123:F124))</f>
        <v>15287484.796969073</v>
      </c>
      <c r="G117" s="26"/>
      <c r="H117" s="26"/>
      <c r="I117" s="26"/>
      <c r="J117" s="26"/>
      <c r="K117" s="26"/>
      <c r="L117" s="26"/>
    </row>
    <row r="118" spans="1:15">
      <c r="A118" s="6" t="s">
        <v>36</v>
      </c>
      <c r="D118" s="8" t="s">
        <v>33</v>
      </c>
      <c r="F118" s="26">
        <f>NPV(0.01,E58,F91,G91,H91,I91,J91,K91,L91,M91,N91,O91)</f>
        <v>11422409.196132753</v>
      </c>
    </row>
    <row r="119" spans="1:15">
      <c r="A119" s="6" t="s">
        <v>37</v>
      </c>
      <c r="B119" s="30">
        <v>6.5000000000000002E-2</v>
      </c>
      <c r="D119" s="6" t="s">
        <v>47</v>
      </c>
    </row>
    <row r="120" spans="1:15">
      <c r="A120" s="27" t="s">
        <v>40</v>
      </c>
      <c r="B120" s="48">
        <v>7</v>
      </c>
    </row>
    <row r="121" spans="1:15">
      <c r="A121" s="6" t="s">
        <v>39</v>
      </c>
      <c r="B121" s="47">
        <v>7</v>
      </c>
      <c r="C121" s="18"/>
      <c r="D121" s="17" t="s">
        <v>2</v>
      </c>
      <c r="E121" s="16">
        <v>0</v>
      </c>
      <c r="F121" s="16">
        <v>1</v>
      </c>
      <c r="G121" s="16">
        <f t="shared" ref="G121:O121" si="44">F121+1</f>
        <v>2</v>
      </c>
      <c r="H121" s="16">
        <f t="shared" si="44"/>
        <v>3</v>
      </c>
      <c r="I121" s="16">
        <f t="shared" si="44"/>
        <v>4</v>
      </c>
      <c r="J121" s="16">
        <f t="shared" si="44"/>
        <v>5</v>
      </c>
      <c r="K121" s="16">
        <f t="shared" si="44"/>
        <v>6</v>
      </c>
      <c r="L121" s="16">
        <f t="shared" si="44"/>
        <v>7</v>
      </c>
      <c r="M121" s="16">
        <f t="shared" si="44"/>
        <v>8</v>
      </c>
      <c r="N121" s="16">
        <f t="shared" si="44"/>
        <v>9</v>
      </c>
      <c r="O121" s="16">
        <f t="shared" si="44"/>
        <v>10</v>
      </c>
    </row>
    <row r="122" spans="1:15">
      <c r="A122" s="24" t="s">
        <v>41</v>
      </c>
      <c r="D122" s="8" t="s">
        <v>97</v>
      </c>
      <c r="E122" s="46">
        <f>E58</f>
        <v>1133672.7999999998</v>
      </c>
    </row>
    <row r="123" spans="1:15">
      <c r="D123" s="8" t="s">
        <v>103</v>
      </c>
      <c r="F123" s="26">
        <f>PMT(B119,7,E122)</f>
        <v>-206704.11397450897</v>
      </c>
      <c r="G123" s="26">
        <f>PMT(B119,7,E122)</f>
        <v>-206704.11397450897</v>
      </c>
      <c r="H123" s="26">
        <f>PMT(B119,7,E122)</f>
        <v>-206704.11397450897</v>
      </c>
      <c r="I123" s="26">
        <f>PMT(B119,7,E122)</f>
        <v>-206704.11397450897</v>
      </c>
      <c r="J123" s="26">
        <f>PMT(B119,7,E122)</f>
        <v>-206704.11397450897</v>
      </c>
      <c r="K123" s="26">
        <f>PMT(B119,7,E122)</f>
        <v>-206704.11397450897</v>
      </c>
      <c r="L123" s="26">
        <f>PMT(B119,7,E122)</f>
        <v>-206704.11397450897</v>
      </c>
    </row>
    <row r="124" spans="1:15">
      <c r="D124" s="8" t="s">
        <v>104</v>
      </c>
      <c r="F124" s="25">
        <f>ISPMT(B119,1,7,E122)</f>
        <v>-63161.770285714279</v>
      </c>
      <c r="G124" s="25">
        <f>ISPMT(B119,1,7,E122)</f>
        <v>-63161.770285714279</v>
      </c>
      <c r="H124" s="25">
        <f>ISPMT(B119,1,7,E122)</f>
        <v>-63161.770285714279</v>
      </c>
      <c r="I124" s="25">
        <f>ISPMT(B119,1,7,E122)</f>
        <v>-63161.770285714279</v>
      </c>
      <c r="J124" s="25">
        <f>ISPMT(B119,1,7,E122)</f>
        <v>-63161.770285714279</v>
      </c>
      <c r="K124" s="25">
        <f>ISPMT(B119,1,7,E122)</f>
        <v>-63161.770285714279</v>
      </c>
      <c r="L124" s="25">
        <f>ISPMT(B119,1,7,E122)</f>
        <v>-63161.770285714279</v>
      </c>
    </row>
    <row r="125" spans="1:15">
      <c r="C125" s="22"/>
      <c r="D125" s="21" t="s">
        <v>102</v>
      </c>
      <c r="E125" s="22"/>
      <c r="F125" s="28">
        <f>PPMT(B119,1,7,E122)</f>
        <v>-133015.38197450899</v>
      </c>
      <c r="G125" s="28">
        <f>PPMT(B119,1,7,E122)</f>
        <v>-133015.38197450899</v>
      </c>
      <c r="H125" s="28">
        <f>PPMT(B119,1,7,E122)</f>
        <v>-133015.38197450899</v>
      </c>
      <c r="I125" s="28">
        <f>PPMT(B119,1,7,E122)</f>
        <v>-133015.38197450899</v>
      </c>
      <c r="J125" s="28">
        <f>PPMT(B119,1,7,E122)</f>
        <v>-133015.38197450899</v>
      </c>
      <c r="K125" s="28">
        <f>PPMT(B119,1,7,E122)</f>
        <v>-133015.38197450899</v>
      </c>
      <c r="L125" s="28">
        <f>PPMT(B119,1,7,E122)</f>
        <v>-133015.38197450899</v>
      </c>
      <c r="M125" s="22"/>
      <c r="N125" s="22"/>
      <c r="O125" s="22"/>
    </row>
    <row r="126" spans="1:15">
      <c r="C126" t="s">
        <v>38</v>
      </c>
    </row>
  </sheetData>
  <pageMargins left="0.25" right="0.25" top="0.75" bottom="0.75" header="0.3" footer="0.3"/>
  <pageSetup scale="67"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13</vt:i4>
      </vt:variant>
    </vt:vector>
  </HeadingPairs>
  <TitlesOfParts>
    <vt:vector size="14" baseType="lpstr">
      <vt:lpstr>Greenhouse 1</vt:lpstr>
      <vt:lpstr>CycleTime</vt:lpstr>
      <vt:lpstr>Germination</vt:lpstr>
      <vt:lpstr>Pack_Percentage</vt:lpstr>
      <vt:lpstr>PlantsInSprouting</vt:lpstr>
      <vt:lpstr>PlantsPerSqFt</vt:lpstr>
      <vt:lpstr>'Greenhouse 1'!Print_Area</vt:lpstr>
      <vt:lpstr>ProdPerHole</vt:lpstr>
      <vt:lpstr>RaftAreaSf</vt:lpstr>
      <vt:lpstr>SproutCull</vt:lpstr>
      <vt:lpstr>SproutingCycleTime</vt:lpstr>
      <vt:lpstr>TotalPlantSpaces</vt:lpstr>
      <vt:lpstr>TransferCull</vt:lpstr>
      <vt:lpstr>WeeksofProd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dc:creator>
  <cp:lastModifiedBy>Tim Mann</cp:lastModifiedBy>
  <cp:lastPrinted>2013-01-26T01:31:33Z</cp:lastPrinted>
  <dcterms:created xsi:type="dcterms:W3CDTF">2013-01-24T18:06:52Z</dcterms:created>
  <dcterms:modified xsi:type="dcterms:W3CDTF">2018-04-10T06:40:04Z</dcterms:modified>
</cp:coreProperties>
</file>