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360" windowWidth="11070" windowHeight="7200"/>
  </bookViews>
  <sheets>
    <sheet name="Greenhouse 1" sheetId="1" r:id="rId1"/>
  </sheets>
  <definedNames>
    <definedName name="CycleTime">'Greenhouse 1'!$F$11</definedName>
    <definedName name="Pack_Percentage" comment="percentage of whole weight harvested that is actually saleable ">'Greenhouse 1'!$B$11</definedName>
    <definedName name="PlantsPerSqFt">'Greenhouse 1'!$D$11</definedName>
    <definedName name="_xlnm.Print_Area" localSheetId="0">'Greenhouse 1'!$A$1:$O$107</definedName>
    <definedName name="ProdPerHole">'Greenhouse 1'!$E$11</definedName>
    <definedName name="RaftAreaSf" comment="Raft Area of the System">'Greenhouse 1'!$C$11</definedName>
    <definedName name="WeeksofProd">'Greenhouse 1'!$A$11</definedName>
  </definedNames>
  <calcPr calcId="124519"/>
</workbook>
</file>

<file path=xl/calcChain.xml><?xml version="1.0" encoding="utf-8"?>
<calcChain xmlns="http://schemas.openxmlformats.org/spreadsheetml/2006/main">
  <c r="B14" i="1"/>
  <c r="E22"/>
  <c r="A14"/>
  <c r="L110" l="1"/>
  <c r="K110"/>
  <c r="J110"/>
  <c r="I110"/>
  <c r="H110"/>
  <c r="G110"/>
  <c r="F110"/>
  <c r="L108"/>
  <c r="K108"/>
  <c r="J108"/>
  <c r="I108"/>
  <c r="H108"/>
  <c r="G108"/>
  <c r="F108"/>
  <c r="F58"/>
  <c r="F54"/>
  <c r="F53"/>
  <c r="G54" l="1"/>
  <c r="H54" s="1"/>
  <c r="I54" s="1"/>
  <c r="J54" s="1"/>
  <c r="K54" s="1"/>
  <c r="L54" s="1"/>
  <c r="M54" s="1"/>
  <c r="N54" s="1"/>
  <c r="O54" s="1"/>
  <c r="E34"/>
  <c r="E29"/>
  <c r="G23" l="1"/>
  <c r="H23" s="1"/>
  <c r="I23" s="1"/>
  <c r="J23" s="1"/>
  <c r="K23" s="1"/>
  <c r="L23" s="1"/>
  <c r="M23" s="1"/>
  <c r="N23" s="1"/>
  <c r="O23" s="1"/>
  <c r="F16"/>
  <c r="F15"/>
  <c r="D7"/>
  <c r="E27"/>
  <c r="F18" l="1"/>
  <c r="F77" s="1"/>
  <c r="B24"/>
  <c r="C24" s="1"/>
  <c r="G16"/>
  <c r="H16" l="1"/>
  <c r="B46"/>
  <c r="B36"/>
  <c r="I16" l="1"/>
  <c r="G109"/>
  <c r="H109"/>
  <c r="I109"/>
  <c r="J109"/>
  <c r="K109"/>
  <c r="L109"/>
  <c r="F109"/>
  <c r="F102" s="1"/>
  <c r="J16" l="1"/>
  <c r="G80"/>
  <c r="H80"/>
  <c r="I80"/>
  <c r="J80"/>
  <c r="K80"/>
  <c r="L80"/>
  <c r="F80"/>
  <c r="B60"/>
  <c r="F14"/>
  <c r="F17" s="1"/>
  <c r="F81" s="1"/>
  <c r="G106"/>
  <c r="H106" s="1"/>
  <c r="I106" s="1"/>
  <c r="J106" s="1"/>
  <c r="K106" s="1"/>
  <c r="L106" s="1"/>
  <c r="M106" s="1"/>
  <c r="N106" s="1"/>
  <c r="O106" s="1"/>
  <c r="G101"/>
  <c r="H101" s="1"/>
  <c r="I101" s="1"/>
  <c r="J101" s="1"/>
  <c r="K101" s="1"/>
  <c r="L101" s="1"/>
  <c r="M101" s="1"/>
  <c r="N101" s="1"/>
  <c r="O101" s="1"/>
  <c r="K16" l="1"/>
  <c r="E45"/>
  <c r="L16" l="1"/>
  <c r="G76"/>
  <c r="H76" s="1"/>
  <c r="I76" s="1"/>
  <c r="J76" s="1"/>
  <c r="K76" s="1"/>
  <c r="L76" s="1"/>
  <c r="M76" s="1"/>
  <c r="N76" s="1"/>
  <c r="O76" s="1"/>
  <c r="G58"/>
  <c r="H58" s="1"/>
  <c r="I58" s="1"/>
  <c r="J58" s="1"/>
  <c r="K58" s="1"/>
  <c r="L58" s="1"/>
  <c r="M58" s="1"/>
  <c r="N58" s="1"/>
  <c r="O58" s="1"/>
  <c r="G59"/>
  <c r="H59" s="1"/>
  <c r="I59" s="1"/>
  <c r="J59" s="1"/>
  <c r="K59" s="1"/>
  <c r="L59" s="1"/>
  <c r="M59" s="1"/>
  <c r="N59" s="1"/>
  <c r="O59" s="1"/>
  <c r="G60"/>
  <c r="H60" s="1"/>
  <c r="I60" s="1"/>
  <c r="J60" s="1"/>
  <c r="K60" s="1"/>
  <c r="L60" s="1"/>
  <c r="M60" s="1"/>
  <c r="N60" s="1"/>
  <c r="O60" s="1"/>
  <c r="G61"/>
  <c r="H61" s="1"/>
  <c r="I61" s="1"/>
  <c r="J61" s="1"/>
  <c r="K61" s="1"/>
  <c r="L61" s="1"/>
  <c r="M61" s="1"/>
  <c r="N61" s="1"/>
  <c r="O61" s="1"/>
  <c r="G62"/>
  <c r="H62" s="1"/>
  <c r="I62" s="1"/>
  <c r="J62" s="1"/>
  <c r="K62" s="1"/>
  <c r="L62" s="1"/>
  <c r="M62" s="1"/>
  <c r="N62" s="1"/>
  <c r="O62" s="1"/>
  <c r="G63"/>
  <c r="H63" s="1"/>
  <c r="I63" s="1"/>
  <c r="J63" s="1"/>
  <c r="K63" s="1"/>
  <c r="L63" s="1"/>
  <c r="M63" s="1"/>
  <c r="N63" s="1"/>
  <c r="O63" s="1"/>
  <c r="G64"/>
  <c r="H64" s="1"/>
  <c r="I64" s="1"/>
  <c r="J64" s="1"/>
  <c r="K64" s="1"/>
  <c r="L64" s="1"/>
  <c r="M64" s="1"/>
  <c r="N64" s="1"/>
  <c r="O64" s="1"/>
  <c r="G65"/>
  <c r="H65" s="1"/>
  <c r="I65" s="1"/>
  <c r="J65" s="1"/>
  <c r="K65" s="1"/>
  <c r="L65" s="1"/>
  <c r="M65" s="1"/>
  <c r="N65" s="1"/>
  <c r="O65" s="1"/>
  <c r="G66"/>
  <c r="H66" s="1"/>
  <c r="I66" s="1"/>
  <c r="J66" s="1"/>
  <c r="K66" s="1"/>
  <c r="L66" s="1"/>
  <c r="M66" s="1"/>
  <c r="N66" s="1"/>
  <c r="O66" s="1"/>
  <c r="G67"/>
  <c r="H67" s="1"/>
  <c r="I67" s="1"/>
  <c r="J67" s="1"/>
  <c r="K67" s="1"/>
  <c r="L67" s="1"/>
  <c r="M67" s="1"/>
  <c r="N67" s="1"/>
  <c r="O67" s="1"/>
  <c r="G68"/>
  <c r="H68" s="1"/>
  <c r="I68" s="1"/>
  <c r="J68" s="1"/>
  <c r="K68" s="1"/>
  <c r="L68" s="1"/>
  <c r="M68" s="1"/>
  <c r="N68" s="1"/>
  <c r="O68" s="1"/>
  <c r="G57"/>
  <c r="H57" s="1"/>
  <c r="I57" s="1"/>
  <c r="J57" s="1"/>
  <c r="K57" s="1"/>
  <c r="L57" s="1"/>
  <c r="M57" s="1"/>
  <c r="N57" s="1"/>
  <c r="O57" s="1"/>
  <c r="G56"/>
  <c r="H56" s="1"/>
  <c r="I56" s="1"/>
  <c r="J56" s="1"/>
  <c r="K56" s="1"/>
  <c r="L56" s="1"/>
  <c r="M56" s="1"/>
  <c r="N56" s="1"/>
  <c r="O56" s="1"/>
  <c r="G55"/>
  <c r="H55" s="1"/>
  <c r="I55" s="1"/>
  <c r="J55" s="1"/>
  <c r="K55" s="1"/>
  <c r="L55" s="1"/>
  <c r="M55" s="1"/>
  <c r="N55" s="1"/>
  <c r="O55" s="1"/>
  <c r="G53"/>
  <c r="G52"/>
  <c r="H52" s="1"/>
  <c r="I52" s="1"/>
  <c r="J52" s="1"/>
  <c r="K52" s="1"/>
  <c r="L52" s="1"/>
  <c r="M52" s="1"/>
  <c r="N52" s="1"/>
  <c r="O52" s="1"/>
  <c r="F69"/>
  <c r="E55" s="1"/>
  <c r="G50"/>
  <c r="H50" s="1"/>
  <c r="I50" s="1"/>
  <c r="J50" s="1"/>
  <c r="K50" s="1"/>
  <c r="L50" s="1"/>
  <c r="M50" s="1"/>
  <c r="N50" s="1"/>
  <c r="O50" s="1"/>
  <c r="E36"/>
  <c r="B48" s="1"/>
  <c r="G15"/>
  <c r="G18" s="1"/>
  <c r="G77" s="1"/>
  <c r="G12"/>
  <c r="H12" s="1"/>
  <c r="I12" s="1"/>
  <c r="J12" s="1"/>
  <c r="K12" s="1"/>
  <c r="L12" s="1"/>
  <c r="M12" s="1"/>
  <c r="N12" s="1"/>
  <c r="O12" s="1"/>
  <c r="M16" l="1"/>
  <c r="H15"/>
  <c r="G14"/>
  <c r="G17" s="1"/>
  <c r="G81" s="1"/>
  <c r="E46"/>
  <c r="E48" s="1"/>
  <c r="A79"/>
  <c r="E52"/>
  <c r="E61"/>
  <c r="E69"/>
  <c r="E58"/>
  <c r="E62"/>
  <c r="E53"/>
  <c r="E66"/>
  <c r="E54"/>
  <c r="G69"/>
  <c r="G70" s="1"/>
  <c r="G78" s="1"/>
  <c r="E65"/>
  <c r="E57"/>
  <c r="H53"/>
  <c r="I53" s="1"/>
  <c r="J53" s="1"/>
  <c r="E68"/>
  <c r="E64"/>
  <c r="E60"/>
  <c r="E56"/>
  <c r="F70"/>
  <c r="F78" s="1"/>
  <c r="E67"/>
  <c r="E63"/>
  <c r="E59"/>
  <c r="I69" l="1"/>
  <c r="I70" s="1"/>
  <c r="I78" s="1"/>
  <c r="I15"/>
  <c r="H18"/>
  <c r="H77" s="1"/>
  <c r="N16"/>
  <c r="O79"/>
  <c r="O91" s="1"/>
  <c r="K79"/>
  <c r="K91" s="1"/>
  <c r="G79"/>
  <c r="G82" s="1"/>
  <c r="I79"/>
  <c r="L79"/>
  <c r="L91" s="1"/>
  <c r="H79"/>
  <c r="N79"/>
  <c r="N91" s="1"/>
  <c r="J79"/>
  <c r="J91" s="1"/>
  <c r="M79"/>
  <c r="M91" s="1"/>
  <c r="F79"/>
  <c r="F91" s="1"/>
  <c r="H14"/>
  <c r="H17" s="1"/>
  <c r="H81" s="1"/>
  <c r="H69"/>
  <c r="H70" s="1"/>
  <c r="H78" s="1"/>
  <c r="K53"/>
  <c r="J69"/>
  <c r="J70" s="1"/>
  <c r="J78" s="1"/>
  <c r="G86" l="1"/>
  <c r="G87" s="1"/>
  <c r="F82"/>
  <c r="H82"/>
  <c r="F83"/>
  <c r="J15"/>
  <c r="I18"/>
  <c r="I77" s="1"/>
  <c r="O16"/>
  <c r="I91"/>
  <c r="G91"/>
  <c r="G83"/>
  <c r="G89" s="1"/>
  <c r="G90" s="1"/>
  <c r="H91"/>
  <c r="I14"/>
  <c r="I17" s="1"/>
  <c r="I81" s="1"/>
  <c r="I82" s="1"/>
  <c r="H83"/>
  <c r="L53"/>
  <c r="K69"/>
  <c r="K70" s="1"/>
  <c r="K78" s="1"/>
  <c r="G97" l="1"/>
  <c r="G94"/>
  <c r="I86"/>
  <c r="I87" s="1"/>
  <c r="I94" s="1"/>
  <c r="F86"/>
  <c r="F87" s="1"/>
  <c r="F94" s="1"/>
  <c r="H86"/>
  <c r="H87" s="1"/>
  <c r="H94" s="1"/>
  <c r="K15"/>
  <c r="J18"/>
  <c r="J77" s="1"/>
  <c r="H89"/>
  <c r="H90" s="1"/>
  <c r="H97" s="1"/>
  <c r="F89"/>
  <c r="F90" s="1"/>
  <c r="F97" s="1"/>
  <c r="J14"/>
  <c r="J17" s="1"/>
  <c r="J81" s="1"/>
  <c r="J82" s="1"/>
  <c r="M53"/>
  <c r="L69"/>
  <c r="L70" s="1"/>
  <c r="L78" s="1"/>
  <c r="J86" l="1"/>
  <c r="J87" s="1"/>
  <c r="J94" s="1"/>
  <c r="L15"/>
  <c r="K18"/>
  <c r="K77" s="1"/>
  <c r="I83"/>
  <c r="I89" s="1"/>
  <c r="I90" s="1"/>
  <c r="I97" s="1"/>
  <c r="K14"/>
  <c r="K17" s="1"/>
  <c r="K81" s="1"/>
  <c r="K82" s="1"/>
  <c r="J83"/>
  <c r="N53"/>
  <c r="M69"/>
  <c r="M70" s="1"/>
  <c r="M78" s="1"/>
  <c r="K86" l="1"/>
  <c r="K87" s="1"/>
  <c r="K94" s="1"/>
  <c r="M15"/>
  <c r="L18"/>
  <c r="L77" s="1"/>
  <c r="J89"/>
  <c r="J90" s="1"/>
  <c r="J97" s="1"/>
  <c r="L14"/>
  <c r="L17" s="1"/>
  <c r="L81" s="1"/>
  <c r="L82" s="1"/>
  <c r="O53"/>
  <c r="N69"/>
  <c r="N70" s="1"/>
  <c r="N78" s="1"/>
  <c r="L86" l="1"/>
  <c r="L87" s="1"/>
  <c r="L94" s="1"/>
  <c r="N15"/>
  <c r="M18"/>
  <c r="M77" s="1"/>
  <c r="K83"/>
  <c r="K89" s="1"/>
  <c r="K90" s="1"/>
  <c r="K97" s="1"/>
  <c r="M14"/>
  <c r="M17" s="1"/>
  <c r="M81" s="1"/>
  <c r="M82" s="1"/>
  <c r="L83"/>
  <c r="O69"/>
  <c r="O70" s="1"/>
  <c r="O78" s="1"/>
  <c r="M86" l="1"/>
  <c r="M87" s="1"/>
  <c r="M94" s="1"/>
  <c r="O15"/>
  <c r="N18"/>
  <c r="N77" s="1"/>
  <c r="L89"/>
  <c r="L90" s="1"/>
  <c r="L97" s="1"/>
  <c r="N14"/>
  <c r="N17" s="1"/>
  <c r="N81" s="1"/>
  <c r="N82" s="1"/>
  <c r="N86" l="1"/>
  <c r="N87" s="1"/>
  <c r="N94" s="1"/>
  <c r="O18"/>
  <c r="P15"/>
  <c r="M83"/>
  <c r="M89" s="1"/>
  <c r="M90" s="1"/>
  <c r="M97" s="1"/>
  <c r="O14"/>
  <c r="O17" l="1"/>
  <c r="P16" s="1"/>
  <c r="P18"/>
  <c r="O77"/>
  <c r="O83" s="1"/>
  <c r="O89" s="1"/>
  <c r="O90" s="1"/>
  <c r="O97" s="1"/>
  <c r="P14"/>
  <c r="N83"/>
  <c r="N89" s="1"/>
  <c r="N90" s="1"/>
  <c r="N97" s="1"/>
  <c r="P17" l="1"/>
  <c r="O81"/>
  <c r="O82" s="1"/>
  <c r="F103"/>
  <c r="O86" l="1"/>
  <c r="O87" s="1"/>
  <c r="O94" s="1"/>
</calcChain>
</file>

<file path=xl/comments1.xml><?xml version="1.0" encoding="utf-8"?>
<comments xmlns="http://schemas.openxmlformats.org/spreadsheetml/2006/main">
  <authors>
    <author>Tims Account</author>
    <author>Rich</author>
  </authors>
  <commentList>
    <comment ref="A11" authorId="0">
      <text>
        <r>
          <rPr>
            <b/>
            <sz val="8"/>
            <color indexed="81"/>
            <rFont val="Tahoma"/>
            <family val="2"/>
          </rPr>
          <t xml:space="preserve">Tim:
</t>
        </r>
        <r>
          <rPr>
            <sz val="8"/>
            <color indexed="81"/>
            <rFont val="Tahoma"/>
            <family val="2"/>
          </rPr>
          <t>Change this number to reflect the actual number of production weeks you get per year</t>
        </r>
      </text>
    </comment>
    <comment ref="C11" authorId="0">
      <text>
        <r>
          <rPr>
            <b/>
            <sz val="8"/>
            <color indexed="81"/>
            <rFont val="Tahoma"/>
            <family val="2"/>
          </rPr>
          <t xml:space="preserve">Tim:
</t>
        </r>
        <r>
          <rPr>
            <sz val="8"/>
            <color indexed="81"/>
            <rFont val="Tahoma"/>
            <family val="2"/>
          </rPr>
          <t xml:space="preserve">Change this number to reflect the actual square feet of raft area your greenhouse contains
</t>
        </r>
      </text>
    </comment>
    <comment ref="D11" authorId="0">
      <text>
        <r>
          <rPr>
            <b/>
            <sz val="8"/>
            <color indexed="81"/>
            <rFont val="Tahoma"/>
            <family val="2"/>
          </rPr>
          <t xml:space="preserve">Tim:
</t>
        </r>
        <r>
          <rPr>
            <sz val="8"/>
            <color indexed="81"/>
            <rFont val="Tahoma"/>
            <family val="2"/>
          </rPr>
          <t>Change this number to reflect the plants per square foot of raft in your system, depending on the proportion of 55's to 32's.</t>
        </r>
      </text>
    </comment>
    <comment ref="E11" authorId="0">
      <text>
        <r>
          <rPr>
            <b/>
            <sz val="8"/>
            <color indexed="81"/>
            <rFont val="Tahoma"/>
            <family val="2"/>
          </rPr>
          <t>Tim:</t>
        </r>
        <r>
          <rPr>
            <sz val="8"/>
            <color indexed="81"/>
            <rFont val="Tahoma"/>
            <family val="2"/>
          </rPr>
          <t xml:space="preserve">
Change this number to reflect the actual weight per hole of your vegetable produce when harvested</t>
        </r>
      </text>
    </comment>
    <comment ref="F11" authorId="0">
      <text>
        <r>
          <rPr>
            <b/>
            <sz val="8"/>
            <color indexed="81"/>
            <rFont val="Tahoma"/>
            <family val="2"/>
          </rPr>
          <t xml:space="preserve">Tim:
</t>
        </r>
        <r>
          <rPr>
            <sz val="8"/>
            <color indexed="81"/>
            <rFont val="Tahoma"/>
            <family val="2"/>
          </rPr>
          <t>Change this number to reflect the actual time it takes to mature vegetables from the time they go into the nursery 55's to the time they come out of the 32's</t>
        </r>
        <r>
          <rPr>
            <sz val="8"/>
            <color indexed="81"/>
            <rFont val="Tahoma"/>
            <family val="2"/>
          </rPr>
          <t xml:space="preserve">
</t>
        </r>
      </text>
    </comment>
    <comment ref="A14" authorId="0">
      <text>
        <r>
          <rPr>
            <b/>
            <sz val="8"/>
            <color indexed="81"/>
            <rFont val="Tahoma"/>
            <family val="2"/>
          </rPr>
          <t>Tim:</t>
        </r>
        <r>
          <rPr>
            <sz val="8"/>
            <color indexed="81"/>
            <rFont val="Tahoma"/>
            <family val="2"/>
          </rPr>
          <t xml:space="preserve">
Assumption: One fourth of the raft area is harvested each week. Raft density of each 2x4 raft is 32 holes.
Equations: 
Raft Area/4=Weekly Harvest Area.
Weekly Harvest Area/8=# of 2x4 Rafts.
# of 2x4 Rafts x 32 holes ea=number of units per week.</t>
        </r>
      </text>
    </comment>
    <comment ref="B14" authorId="1">
      <text>
        <r>
          <rPr>
            <b/>
            <sz val="9"/>
            <color indexed="81"/>
            <rFont val="Tahoma"/>
            <family val="2"/>
          </rPr>
          <t>Tim:</t>
        </r>
        <r>
          <rPr>
            <sz val="9"/>
            <color indexed="81"/>
            <rFont val="Tahoma"/>
            <family val="2"/>
          </rPr>
          <t xml:space="preserve">
</t>
        </r>
        <r>
          <rPr>
            <u/>
            <sz val="9"/>
            <color indexed="81"/>
            <rFont val="Tahoma"/>
            <family val="2"/>
          </rPr>
          <t>Assumption</t>
        </r>
        <r>
          <rPr>
            <sz val="9"/>
            <color indexed="81"/>
            <rFont val="Tahoma"/>
            <family val="2"/>
          </rPr>
          <t xml:space="preserve">: One fourth of the raft area is harvested each week. Raft density of each 2x4 raft is 32 holes.
</t>
        </r>
        <r>
          <rPr>
            <u/>
            <sz val="9"/>
            <color indexed="81"/>
            <rFont val="Tahoma"/>
            <family val="2"/>
          </rPr>
          <t>Equations:</t>
        </r>
        <r>
          <rPr>
            <sz val="9"/>
            <color indexed="81"/>
            <rFont val="Tahoma"/>
            <family val="2"/>
          </rPr>
          <t xml:space="preserve"> 
Raft Area/4=Weekly Harvest Area.
Weekly Harvest Area/8=# of 2x4 Rafts.
# of 2x4 Rafts x 32 holes ea=number of units per week.</t>
        </r>
      </text>
    </comment>
    <comment ref="C14" authorId="1">
      <text>
        <r>
          <rPr>
            <b/>
            <sz val="9"/>
            <color indexed="81"/>
            <rFont val="Tahoma"/>
            <family val="2"/>
          </rPr>
          <t>Tim:</t>
        </r>
        <r>
          <rPr>
            <sz val="9"/>
            <color indexed="81"/>
            <rFont val="Tahoma"/>
            <family val="2"/>
          </rPr>
          <t xml:space="preserve">
Change this number to reflect the actual price per pound of wholesale organic produce items in your area</t>
        </r>
      </text>
    </comment>
    <comment ref="B15" authorId="1">
      <text>
        <r>
          <rPr>
            <b/>
            <sz val="9"/>
            <color indexed="81"/>
            <rFont val="Tahoma"/>
            <family val="2"/>
          </rPr>
          <t>Tim:</t>
        </r>
        <r>
          <rPr>
            <sz val="9"/>
            <color indexed="81"/>
            <rFont val="Tahoma"/>
            <family val="2"/>
          </rPr>
          <t xml:space="preserve">
</t>
        </r>
        <r>
          <rPr>
            <u/>
            <sz val="9"/>
            <color indexed="81"/>
            <rFont val="Tahoma"/>
            <family val="2"/>
          </rPr>
          <t>Assumption</t>
        </r>
        <r>
          <rPr>
            <sz val="9"/>
            <color indexed="81"/>
            <rFont val="Tahoma"/>
            <family val="2"/>
          </rPr>
          <t xml:space="preserve">: 45 weeks production yielding 10 lbs per week
</t>
        </r>
      </text>
    </comment>
    <comment ref="C15" authorId="0">
      <text>
        <r>
          <rPr>
            <b/>
            <sz val="8"/>
            <color indexed="81"/>
            <rFont val="Tahoma"/>
            <family val="2"/>
          </rPr>
          <t xml:space="preserve">Tim:
</t>
        </r>
        <r>
          <rPr>
            <sz val="8"/>
            <color indexed="81"/>
            <rFont val="Tahoma"/>
            <family val="2"/>
          </rPr>
          <t>Change this number to reflect the actual sales price of fish per pound in your area</t>
        </r>
      </text>
    </comment>
    <comment ref="C16" authorId="0">
      <text>
        <r>
          <rPr>
            <b/>
            <sz val="8"/>
            <color indexed="81"/>
            <rFont val="Tahoma"/>
            <family val="2"/>
          </rPr>
          <t xml:space="preserve">Tim:
</t>
        </r>
        <r>
          <rPr>
            <sz val="8"/>
            <color indexed="81"/>
            <rFont val="Tahoma"/>
            <family val="2"/>
          </rPr>
          <t>Change this number to reflect the actual price per unit (each) of wholesale organic produce items in your area</t>
        </r>
      </text>
    </comment>
    <comment ref="E20" authorId="1">
      <text>
        <r>
          <rPr>
            <b/>
            <sz val="9"/>
            <color indexed="81"/>
            <rFont val="Tahoma"/>
            <family val="2"/>
          </rPr>
          <t>Rich:</t>
        </r>
        <r>
          <rPr>
            <sz val="9"/>
            <color indexed="81"/>
            <rFont val="Tahoma"/>
            <family val="2"/>
          </rPr>
          <t xml:space="preserve">
</t>
        </r>
        <r>
          <rPr>
            <u/>
            <sz val="9"/>
            <color indexed="81"/>
            <rFont val="Tahoma"/>
            <family val="2"/>
          </rPr>
          <t>Assumption:</t>
        </r>
        <r>
          <rPr>
            <sz val="9"/>
            <color indexed="81"/>
            <rFont val="Tahoma"/>
            <family val="2"/>
          </rPr>
          <t xml:space="preserve"> 3% price inflation per year should be conservative.</t>
        </r>
      </text>
    </comment>
    <comment ref="E22" authorId="1">
      <text>
        <r>
          <rPr>
            <b/>
            <sz val="9"/>
            <color indexed="81"/>
            <rFont val="Tahoma"/>
            <family val="2"/>
          </rPr>
          <t>Tim:</t>
        </r>
        <r>
          <rPr>
            <sz val="9"/>
            <color indexed="81"/>
            <rFont val="Tahoma"/>
            <family val="2"/>
          </rPr>
          <t xml:space="preserve">
Weekly production varies according to cycle time and production per hole</t>
        </r>
      </text>
    </comment>
    <comment ref="C25" authorId="1">
      <text>
        <r>
          <rPr>
            <b/>
            <sz val="9"/>
            <color indexed="81"/>
            <rFont val="Tahoma"/>
            <family val="2"/>
          </rPr>
          <t>Tim:</t>
        </r>
        <r>
          <rPr>
            <sz val="9"/>
            <color indexed="81"/>
            <rFont val="Tahoma"/>
            <family val="2"/>
          </rPr>
          <t xml:space="preserve">
</t>
        </r>
        <r>
          <rPr>
            <u/>
            <sz val="9"/>
            <color indexed="81"/>
            <rFont val="Tahoma"/>
            <family val="2"/>
          </rPr>
          <t>Assumption:</t>
        </r>
        <r>
          <rPr>
            <sz val="9"/>
            <color indexed="81"/>
            <rFont val="Tahoma"/>
            <family val="2"/>
          </rPr>
          <t xml:space="preserve"> this is materials only. If paying for labor, add $5/lin ft labor costs</t>
        </r>
      </text>
    </comment>
    <comment ref="E25" authorId="0">
      <text>
        <r>
          <rPr>
            <b/>
            <sz val="8"/>
            <color indexed="81"/>
            <rFont val="Tahoma"/>
            <family val="2"/>
          </rPr>
          <t>Tim:</t>
        </r>
        <r>
          <rPr>
            <sz val="8"/>
            <color indexed="81"/>
            <rFont val="Tahoma"/>
            <family val="2"/>
          </rPr>
          <t xml:space="preserve">
Change this number to reflect the actual cost of your greenhouse</t>
        </r>
      </text>
    </comment>
    <comment ref="C27" authorId="1">
      <text>
        <r>
          <rPr>
            <b/>
            <sz val="9"/>
            <color indexed="81"/>
            <rFont val="Tahoma"/>
            <family val="2"/>
          </rPr>
          <t>Rich:</t>
        </r>
        <r>
          <rPr>
            <sz val="9"/>
            <color indexed="81"/>
            <rFont val="Tahoma"/>
            <family val="2"/>
          </rPr>
          <t xml:space="preserve">
Assumption: From Friendly 2013 Commercial Aquaponics Training manual</t>
        </r>
      </text>
    </comment>
    <comment ref="B30" authorId="1">
      <text>
        <r>
          <rPr>
            <b/>
            <sz val="9"/>
            <color indexed="81"/>
            <rFont val="Tahoma"/>
            <family val="2"/>
          </rPr>
          <t>Rich:</t>
        </r>
        <r>
          <rPr>
            <sz val="9"/>
            <color indexed="81"/>
            <rFont val="Tahoma"/>
            <family val="2"/>
          </rPr>
          <t xml:space="preserve">
Assumption: 12'x4' round corrugated metal tank with liner. Sized to add an additional outdoor field of troughs the same size (~1,776sf).</t>
        </r>
      </text>
    </comment>
    <comment ref="D34" authorId="1">
      <text>
        <r>
          <rPr>
            <b/>
            <sz val="9"/>
            <color indexed="81"/>
            <rFont val="Tahoma"/>
            <family val="2"/>
          </rPr>
          <t>Rich:</t>
        </r>
        <r>
          <rPr>
            <sz val="9"/>
            <color indexed="81"/>
            <rFont val="Tahoma"/>
            <family val="2"/>
          </rPr>
          <t xml:space="preserve">
Asumption: Use 2" Blue Board 12' high on the North, East and East walls for insulation.</t>
        </r>
      </text>
    </comment>
    <comment ref="B53" authorId="0">
      <text>
        <r>
          <rPr>
            <b/>
            <sz val="8"/>
            <color indexed="81"/>
            <rFont val="Tahoma"/>
            <family val="2"/>
          </rPr>
          <t>Tim:</t>
        </r>
        <r>
          <rPr>
            <sz val="8"/>
            <color indexed="81"/>
            <rFont val="Tahoma"/>
            <family val="2"/>
          </rPr>
          <t xml:space="preserve">
Change this number to reflect the actual cost per kilowatt hour for electricity in your area</t>
        </r>
      </text>
    </comment>
    <comment ref="C53" authorId="0">
      <text>
        <r>
          <rPr>
            <b/>
            <sz val="8"/>
            <color indexed="81"/>
            <rFont val="Tahoma"/>
            <family val="2"/>
          </rPr>
          <t>Tim:</t>
        </r>
        <r>
          <rPr>
            <sz val="8"/>
            <color indexed="81"/>
            <rFont val="Tahoma"/>
            <family val="2"/>
          </rPr>
          <t xml:space="preserve">
This number is kilowatt hours per year for basic system; change this if you redesign the system; or add components such as lighting, processing machinery, etc</t>
        </r>
      </text>
    </comment>
    <comment ref="B54" authorId="0">
      <text>
        <r>
          <rPr>
            <b/>
            <sz val="8"/>
            <color indexed="81"/>
            <rFont val="Tahoma"/>
            <family val="2"/>
          </rPr>
          <t>Tim:</t>
        </r>
        <r>
          <rPr>
            <sz val="8"/>
            <color indexed="81"/>
            <rFont val="Tahoma"/>
            <family val="2"/>
          </rPr>
          <t xml:space="preserve">
Change this number to reflect the actual cost per kilowatt hour for electricity in your area</t>
        </r>
      </text>
    </comment>
    <comment ref="C54" authorId="0">
      <text>
        <r>
          <rPr>
            <b/>
            <sz val="8"/>
            <color indexed="81"/>
            <rFont val="Tahoma"/>
            <family val="2"/>
          </rPr>
          <t>Tim:</t>
        </r>
        <r>
          <rPr>
            <sz val="8"/>
            <color indexed="81"/>
            <rFont val="Tahoma"/>
            <family val="2"/>
          </rPr>
          <t xml:space="preserve">
This number is kilowatt hours per year for 90 days of ten hours per day lighting over 48 lineal feet of 4-foot wide sprouting table</t>
        </r>
      </text>
    </comment>
    <comment ref="B58" authorId="0">
      <text>
        <r>
          <rPr>
            <b/>
            <sz val="8"/>
            <color indexed="81"/>
            <rFont val="Tahoma"/>
            <family val="2"/>
          </rPr>
          <t>Tim:</t>
        </r>
        <r>
          <rPr>
            <sz val="8"/>
            <color indexed="81"/>
            <rFont val="Tahoma"/>
            <family val="2"/>
          </rPr>
          <t xml:space="preserve">
Change this number to the actual cost of fish food per pound in your area</t>
        </r>
      </text>
    </comment>
    <comment ref="C89" authorId="0">
      <text>
        <r>
          <rPr>
            <b/>
            <sz val="8"/>
            <color indexed="81"/>
            <rFont val="Tahoma"/>
            <family val="2"/>
          </rPr>
          <t>Tim:</t>
        </r>
        <r>
          <rPr>
            <sz val="8"/>
            <color indexed="81"/>
            <rFont val="Tahoma"/>
            <family val="2"/>
          </rPr>
          <t xml:space="preserve">
Change this number to reflect the approximate personal tax bracket you expect to be in</t>
        </r>
      </text>
    </comment>
  </commentList>
</comments>
</file>

<file path=xl/sharedStrings.xml><?xml version="1.0" encoding="utf-8"?>
<sst xmlns="http://schemas.openxmlformats.org/spreadsheetml/2006/main" count="136" uniqueCount="127">
  <si>
    <t>$/unit</t>
  </si>
  <si>
    <t>Product</t>
  </si>
  <si>
    <t>Year</t>
  </si>
  <si>
    <t>Expense Development Costs</t>
  </si>
  <si>
    <t>Land</t>
  </si>
  <si>
    <t>Pumps</t>
  </si>
  <si>
    <t>Piping</t>
  </si>
  <si>
    <t>Total Capital Costs</t>
  </si>
  <si>
    <t>Total Soft Costs</t>
  </si>
  <si>
    <t>Total Development Costs</t>
  </si>
  <si>
    <t>Expense Operating Costs</t>
  </si>
  <si>
    <t>Total Operating Costs</t>
  </si>
  <si>
    <t>Total Costs</t>
  </si>
  <si>
    <t>% Total Op Costs Year 1</t>
  </si>
  <si>
    <t>Taxable Income &amp; Cash Flow</t>
  </si>
  <si>
    <t>Depreciation</t>
  </si>
  <si>
    <t>Operating Expenses</t>
  </si>
  <si>
    <t>Interest Paid on Loans</t>
  </si>
  <si>
    <t>*, ***</t>
  </si>
  <si>
    <t>**, ***</t>
  </si>
  <si>
    <t>** Inflation</t>
  </si>
  <si>
    <t>*** Energy Inflation</t>
  </si>
  <si>
    <t>Electricity for Pumps ***</t>
  </si>
  <si>
    <t>Propane for Greenhouse ***</t>
  </si>
  <si>
    <t>Labor *, **</t>
  </si>
  <si>
    <t>Water **</t>
  </si>
  <si>
    <t>Fish Food **</t>
  </si>
  <si>
    <t>Seeds **</t>
  </si>
  <si>
    <t>Fingerlings **</t>
  </si>
  <si>
    <t>Other Agricultural Materials **</t>
  </si>
  <si>
    <t>Replacement Costs **</t>
  </si>
  <si>
    <t>Operating Reserve **</t>
  </si>
  <si>
    <t>Marketing **</t>
  </si>
  <si>
    <t>Transportation &amp; Delivery **</t>
  </si>
  <si>
    <t>Insurance **</t>
  </si>
  <si>
    <t>Accounting **</t>
  </si>
  <si>
    <t>Property &amp; Equipment Taxes **</t>
  </si>
  <si>
    <t>Depreciable</t>
  </si>
  <si>
    <t>Base</t>
  </si>
  <si>
    <t>*After Income Taxes, Depreciation and Loan Ammortization</t>
  </si>
  <si>
    <t>Profitability</t>
  </si>
  <si>
    <t>Present Value</t>
  </si>
  <si>
    <t>Net Present Value</t>
  </si>
  <si>
    <t>Ammortization Schedule</t>
  </si>
  <si>
    <t>Ending Balance</t>
  </si>
  <si>
    <t>Total Annual Payment</t>
  </si>
  <si>
    <t>Interest Charge</t>
  </si>
  <si>
    <t>Years</t>
  </si>
  <si>
    <t>Life of the Loan</t>
  </si>
  <si>
    <t>Amortization*</t>
  </si>
  <si>
    <t>* Amortization = principal payment</t>
  </si>
  <si>
    <t>Stocking Density/gal</t>
  </si>
  <si>
    <t>Water Storage gal</t>
  </si>
  <si>
    <t>Lbs./wk.</t>
  </si>
  <si>
    <t>1 - Fish Tanks (2,057/gal ea.)</t>
  </si>
  <si>
    <t>Propane for Fish Tank Heater ***</t>
  </si>
  <si>
    <t>Sprouting Tables Lights/electricity***</t>
  </si>
  <si>
    <t>Total Cost/sf</t>
  </si>
  <si>
    <t>Developent Cost/sf</t>
  </si>
  <si>
    <t>Capital Cost/sf</t>
  </si>
  <si>
    <t>Water to fill</t>
  </si>
  <si>
    <t>2" Blue Board (.98/sf)</t>
  </si>
  <si>
    <t>Other Equipment (Backup Solar)</t>
  </si>
  <si>
    <t>Weeks of Production</t>
  </si>
  <si>
    <t>Raft Area sf</t>
  </si>
  <si>
    <t>Fish (Whole)</t>
  </si>
  <si>
    <t>Labor to Construct</t>
  </si>
  <si>
    <t>Building Permits</t>
  </si>
  <si>
    <t>Site Preparation</t>
  </si>
  <si>
    <t>Sprouting Tables</t>
  </si>
  <si>
    <t>Climate Design</t>
  </si>
  <si>
    <t>Moderate</t>
  </si>
  <si>
    <t>Flow of funds discounted to present value at a rate of .01</t>
  </si>
  <si>
    <t xml:space="preserve">Ten Year </t>
  </si>
  <si>
    <t>Modified High Tunnel</t>
  </si>
  <si>
    <t xml:space="preserve">Greenhouse Cost + Installation </t>
  </si>
  <si>
    <t>$/ft</t>
  </si>
  <si>
    <t>Greenhouse Area (sf)</t>
  </si>
  <si>
    <t>Trough (lf)</t>
  </si>
  <si>
    <t>Sprouting Table (lf)</t>
  </si>
  <si>
    <t>Lighting, wiring, and receptacles</t>
  </si>
  <si>
    <t>Cycle Time</t>
  </si>
  <si>
    <t>Pounds/yr</t>
  </si>
  <si>
    <t>Leafy Greens per pound</t>
  </si>
  <si>
    <t>Gross Income By The Pound</t>
  </si>
  <si>
    <t>Pounds of Vegetable Production per week</t>
  </si>
  <si>
    <t>Price Inflation Per Year</t>
  </si>
  <si>
    <t>Trough Liner, Lumber &amp; Stakes</t>
  </si>
  <si>
    <t>Fish Tank Heater and Pump</t>
  </si>
  <si>
    <t>Plumbing Labor</t>
  </si>
  <si>
    <t>Electrical Labor</t>
  </si>
  <si>
    <t>Net Income before Taxes, By The Pound</t>
  </si>
  <si>
    <t>Income from Operations, By The Each</t>
  </si>
  <si>
    <t>Income from Operations, By The Pound</t>
  </si>
  <si>
    <t>Net "Pound" Income After Taxes</t>
  </si>
  <si>
    <t>Net "Pound" Cash Flow*</t>
  </si>
  <si>
    <t>"Pound" Income Taxes</t>
  </si>
  <si>
    <t>"Each" Income Taxes</t>
  </si>
  <si>
    <t>* 1 person @ $15/hr x 12 months</t>
  </si>
  <si>
    <t>Tax Rate 25%</t>
  </si>
  <si>
    <r>
      <rPr>
        <b/>
        <sz val="11"/>
        <color theme="1"/>
        <rFont val="Calibri"/>
        <family val="2"/>
        <scheme val="minor"/>
      </rPr>
      <t>Plant Weight</t>
    </r>
    <r>
      <rPr>
        <sz val="11"/>
        <color theme="1"/>
        <rFont val="Calibri"/>
        <family val="2"/>
        <scheme val="minor"/>
      </rPr>
      <t xml:space="preserve"> (production per hole)</t>
    </r>
  </si>
  <si>
    <t>Electricity Cost for Aquaponics</t>
  </si>
  <si>
    <t>Electricity Cost for Sprouting Table</t>
  </si>
  <si>
    <t>Fish Food Cost</t>
  </si>
  <si>
    <t>Key Color:</t>
  </si>
  <si>
    <t>What Is It?</t>
  </si>
  <si>
    <t>Formulas: if you know how to mess with these, you don't need us</t>
  </si>
  <si>
    <t>VERY accurate numbers, don't mess with them unless you're REALLY sure</t>
  </si>
  <si>
    <t>Places you MUST input your local numbers for an accurate projection</t>
  </si>
  <si>
    <t>Accurate numbers; don't mess with them unless you're sure</t>
  </si>
  <si>
    <t>Friendly Aquaponics Financial Proforma for single 35 X 96 greenhouse</t>
  </si>
  <si>
    <t>White boxes are your results, DON'T MESS WITH THEM AT ALL!</t>
  </si>
  <si>
    <t>Plant Weight is averaged; but is fantasy without a test grow to define it for your location and greenhouse</t>
  </si>
  <si>
    <t>Plants Per Square Foot Of Raft</t>
  </si>
  <si>
    <t>Width</t>
  </si>
  <si>
    <t>Length</t>
  </si>
  <si>
    <t>Square Feet of GH Area</t>
  </si>
  <si>
    <t>Leafy Greens per head</t>
  </si>
  <si>
    <t>Gross Income By The Head</t>
  </si>
  <si>
    <t>Net Income before Taxes, By The Head</t>
  </si>
  <si>
    <t>Net "Head" Income After Taxes</t>
  </si>
  <si>
    <t>Net "Head" Cash Flow*</t>
  </si>
  <si>
    <r>
      <t xml:space="preserve">Cycle Time is how long the plants </t>
    </r>
    <r>
      <rPr>
        <b/>
        <u/>
        <sz val="11"/>
        <color theme="1"/>
        <rFont val="Calibri"/>
        <family val="2"/>
        <scheme val="minor"/>
      </rPr>
      <t>are in the rafts</t>
    </r>
    <r>
      <rPr>
        <b/>
        <sz val="11"/>
        <color theme="1"/>
        <rFont val="Calibri"/>
        <family val="2"/>
        <scheme val="minor"/>
      </rPr>
      <t>, not counting sprouting table time</t>
    </r>
  </si>
  <si>
    <t>Projections for a SINGLE species (lettuce, OR bok choi, OR green onions etc)</t>
  </si>
  <si>
    <t>Pack Percentage</t>
  </si>
  <si>
    <t>Heads Per Year</t>
  </si>
  <si>
    <t>"Plants Per Square Foot" is the average density in your system</t>
  </si>
</sst>
</file>

<file path=xl/styles.xml><?xml version="1.0" encoding="utf-8"?>
<styleSheet xmlns="http://schemas.openxmlformats.org/spreadsheetml/2006/main">
  <numFmts count="9">
    <numFmt numFmtId="6" formatCode="&quot;$&quot;#,##0_);[Red]\(&quot;$&quot;#,##0\)"/>
    <numFmt numFmtId="44" formatCode="_(&quot;$&quot;* #,##0.00_);_(&quot;$&quot;* \(#,##0.00\);_(&quot;$&quot;* &quot;-&quot;??_);_(@_)"/>
    <numFmt numFmtId="43" formatCode="_(* #,##0.00_);_(* \(#,##0.00\);_(* &quot;-&quot;??_);_(@_)"/>
    <numFmt numFmtId="164" formatCode="_([$$-409]* #,##0_);_([$$-409]* \(#,##0\);_([$$-409]* &quot;-&quot;??_);_(@_)"/>
    <numFmt numFmtId="165" formatCode="&quot;$&quot;#,##0"/>
    <numFmt numFmtId="166" formatCode="_(&quot;$&quot;* #,##0_);_(&quot;$&quot;* \(#,##0\);_(&quot;$&quot;* &quot;-&quot;??_);_(@_)"/>
    <numFmt numFmtId="167" formatCode="&quot;$&quot;#,##0.00"/>
    <numFmt numFmtId="168" formatCode="_(* #,##0_);_(* \(#,##0\);_(* &quot;-&quot;??_);_(@_)"/>
    <numFmt numFmtId="169" formatCode="#,##0.000_);\(#,##0.000\)"/>
  </numFmts>
  <fonts count="16">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1"/>
      <color theme="1"/>
      <name val="Calibri"/>
      <family val="2"/>
      <scheme val="minor"/>
    </font>
    <font>
      <sz val="9"/>
      <color indexed="81"/>
      <name val="Tahoma"/>
      <family val="2"/>
    </font>
    <font>
      <b/>
      <sz val="9"/>
      <color indexed="81"/>
      <name val="Tahoma"/>
      <family val="2"/>
    </font>
    <font>
      <sz val="11"/>
      <color rgb="FF3F3F76"/>
      <name val="Calibri"/>
      <family val="2"/>
      <scheme val="minor"/>
    </font>
    <font>
      <b/>
      <sz val="11"/>
      <color rgb="FFFA7D00"/>
      <name val="Calibri"/>
      <family val="2"/>
      <scheme val="minor"/>
    </font>
    <font>
      <u/>
      <sz val="9"/>
      <color indexed="81"/>
      <name val="Tahoma"/>
      <family val="2"/>
    </font>
    <font>
      <sz val="8"/>
      <color indexed="81"/>
      <name val="Tahoma"/>
      <family val="2"/>
    </font>
    <font>
      <b/>
      <sz val="8"/>
      <color indexed="81"/>
      <name val="Tahoma"/>
      <family val="2"/>
    </font>
    <font>
      <b/>
      <sz val="12"/>
      <color theme="1"/>
      <name val="Calibri"/>
      <family val="2"/>
      <scheme val="minor"/>
    </font>
    <font>
      <b/>
      <sz val="14"/>
      <color theme="1"/>
      <name val="Calibri"/>
      <family val="2"/>
      <scheme val="minor"/>
    </font>
    <font>
      <b/>
      <u/>
      <sz val="11"/>
      <color theme="1"/>
      <name val="Calibri"/>
      <family val="2"/>
      <scheme val="minor"/>
    </font>
  </fonts>
  <fills count="11">
    <fill>
      <patternFill patternType="none"/>
    </fill>
    <fill>
      <patternFill patternType="gray125"/>
    </fill>
    <fill>
      <patternFill patternType="solid">
        <fgColor theme="6"/>
      </patternFill>
    </fill>
    <fill>
      <patternFill patternType="solid">
        <fgColor theme="6" tint="0.39997558519241921"/>
        <bgColor indexed="65"/>
      </patternFill>
    </fill>
    <fill>
      <patternFill patternType="solid">
        <fgColor rgb="FFFFFFCC"/>
      </patternFill>
    </fill>
    <fill>
      <patternFill patternType="solid">
        <fgColor rgb="FFFFCC99"/>
      </patternFill>
    </fill>
    <fill>
      <patternFill patternType="solid">
        <fgColor rgb="FFF2F2F2"/>
      </patternFill>
    </fill>
    <fill>
      <patternFill patternType="solid">
        <fgColor rgb="FF00B0F0"/>
        <bgColor indexed="64"/>
      </patternFill>
    </fill>
    <fill>
      <patternFill patternType="solid">
        <fgColor rgb="FF00B050"/>
        <bgColor indexed="64"/>
      </patternFill>
    </fill>
    <fill>
      <patternFill patternType="solid">
        <fgColor rgb="FFFFFFCC"/>
        <bgColor indexed="64"/>
      </patternFill>
    </fill>
    <fill>
      <patternFill patternType="solid">
        <fgColor rgb="FFFFCC99"/>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indexed="64"/>
      </bottom>
      <diagonal/>
    </border>
    <border>
      <left style="thin">
        <color rgb="FF7F7F7F"/>
      </left>
      <right style="thin">
        <color rgb="FF7F7F7F"/>
      </right>
      <top style="thin">
        <color indexed="64"/>
      </top>
      <bottom style="thin">
        <color indexed="64"/>
      </bottom>
      <diagonal/>
    </border>
    <border>
      <left style="thin">
        <color rgb="FFB2B2B2"/>
      </left>
      <right style="thin">
        <color rgb="FFB2B2B2"/>
      </right>
      <top style="thin">
        <color rgb="FFB2B2B2"/>
      </top>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style="thin">
        <color indexed="64"/>
      </bottom>
      <diagonal/>
    </border>
    <border>
      <left style="thin">
        <color rgb="FFB2B2B2"/>
      </left>
      <right style="thin">
        <color rgb="FFB2B2B2"/>
      </right>
      <top/>
      <bottom style="thin">
        <color rgb="FFB2B2B2"/>
      </bottom>
      <diagonal/>
    </border>
    <border>
      <left style="hair">
        <color rgb="FF7F7F7F"/>
      </left>
      <right style="hair">
        <color rgb="FF7F7F7F"/>
      </right>
      <top style="hair">
        <color rgb="FF7F7F7F"/>
      </top>
      <bottom style="hair">
        <color rgb="FF7F7F7F"/>
      </bottom>
      <diagonal/>
    </border>
    <border>
      <left/>
      <right style="thin">
        <color rgb="FF7F7F7F"/>
      </right>
      <top style="thin">
        <color rgb="FF7F7F7F"/>
      </top>
      <bottom style="thin">
        <color rgb="FF7F7F7F"/>
      </bottom>
      <diagonal/>
    </border>
    <border>
      <left/>
      <right/>
      <top style="thin">
        <color indexed="64"/>
      </top>
      <bottom/>
      <diagonal/>
    </border>
    <border>
      <left/>
      <right style="hair">
        <color auto="1"/>
      </right>
      <top/>
      <bottom style="hair">
        <color auto="1"/>
      </bottom>
      <diagonal/>
    </border>
  </borders>
  <cellStyleXfs count="8">
    <xf numFmtId="0" fontId="0" fillId="0" borderId="0"/>
    <xf numFmtId="0" fontId="2" fillId="2" borderId="0" applyNumberFormat="0" applyBorder="0" applyAlignment="0" applyProtection="0"/>
    <xf numFmtId="0" fontId="2" fillId="3"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4" borderId="3" applyNumberFormat="0" applyFont="0" applyAlignment="0" applyProtection="0"/>
    <xf numFmtId="0" fontId="8" fillId="5" borderId="4" applyNumberFormat="0" applyAlignment="0" applyProtection="0"/>
    <xf numFmtId="0" fontId="9" fillId="6" borderId="4" applyNumberFormat="0" applyAlignment="0" applyProtection="0"/>
  </cellStyleXfs>
  <cellXfs count="104">
    <xf numFmtId="0" fontId="0" fillId="0" borderId="0" xfId="0"/>
    <xf numFmtId="0" fontId="0" fillId="0" borderId="1" xfId="0" applyBorder="1"/>
    <xf numFmtId="3" fontId="0" fillId="0" borderId="0" xfId="0" applyNumberFormat="1"/>
    <xf numFmtId="0" fontId="1" fillId="0" borderId="1" xfId="0" applyFont="1" applyBorder="1"/>
    <xf numFmtId="0" fontId="1" fillId="0" borderId="0" xfId="0" applyFont="1"/>
    <xf numFmtId="0" fontId="1" fillId="0" borderId="0" xfId="0" applyFont="1" applyAlignment="1">
      <alignment horizontal="center"/>
    </xf>
    <xf numFmtId="0" fontId="0" fillId="0" borderId="0" xfId="0" applyAlignment="1">
      <alignment horizontal="right"/>
    </xf>
    <xf numFmtId="0" fontId="1" fillId="0" borderId="2" xfId="0" applyFont="1" applyBorder="1" applyAlignment="1">
      <alignment horizontal="center"/>
    </xf>
    <xf numFmtId="0" fontId="1" fillId="0" borderId="0" xfId="0" applyFont="1" applyAlignment="1">
      <alignment horizontal="right"/>
    </xf>
    <xf numFmtId="0" fontId="0" fillId="0" borderId="0" xfId="0" applyAlignment="1">
      <alignment wrapText="1"/>
    </xf>
    <xf numFmtId="9" fontId="0" fillId="0" borderId="0" xfId="0" applyNumberFormat="1"/>
    <xf numFmtId="164" fontId="0" fillId="0" borderId="0" xfId="0" applyNumberFormat="1"/>
    <xf numFmtId="165" fontId="0" fillId="0" borderId="0" xfId="0" applyNumberFormat="1"/>
    <xf numFmtId="0" fontId="0" fillId="0" borderId="0" xfId="0" applyBorder="1"/>
    <xf numFmtId="0" fontId="0" fillId="0" borderId="0" xfId="0" applyAlignment="1">
      <alignment horizontal="center"/>
    </xf>
    <xf numFmtId="0" fontId="2" fillId="3" borderId="1" xfId="2" applyBorder="1"/>
    <xf numFmtId="0" fontId="3" fillId="3" borderId="1" xfId="2" applyFont="1" applyBorder="1"/>
    <xf numFmtId="0" fontId="4" fillId="3" borderId="1" xfId="2" applyFont="1" applyBorder="1" applyAlignment="1">
      <alignment horizontal="right"/>
    </xf>
    <xf numFmtId="0" fontId="3" fillId="2" borderId="1" xfId="1" applyFont="1" applyBorder="1"/>
    <xf numFmtId="0" fontId="0" fillId="0" borderId="0" xfId="0" applyBorder="1" applyAlignment="1">
      <alignment horizontal="center"/>
    </xf>
    <xf numFmtId="0" fontId="0" fillId="0" borderId="0" xfId="0" applyFill="1" applyBorder="1"/>
    <xf numFmtId="0" fontId="1" fillId="0" borderId="2" xfId="0" applyFont="1" applyBorder="1" applyAlignment="1">
      <alignment horizontal="right"/>
    </xf>
    <xf numFmtId="0" fontId="0" fillId="0" borderId="2" xfId="0" applyBorder="1"/>
    <xf numFmtId="0" fontId="4" fillId="2" borderId="1" xfId="1" applyFont="1" applyBorder="1"/>
    <xf numFmtId="0" fontId="0" fillId="0" borderId="0" xfId="0" applyAlignment="1">
      <alignment horizontal="left"/>
    </xf>
    <xf numFmtId="44" fontId="0" fillId="0" borderId="0" xfId="4" applyFont="1"/>
    <xf numFmtId="166" fontId="0" fillId="0" borderId="0" xfId="4" applyNumberFormat="1" applyFont="1"/>
    <xf numFmtId="6" fontId="0" fillId="0" borderId="0" xfId="0" applyNumberFormat="1"/>
    <xf numFmtId="0" fontId="0" fillId="0" borderId="2" xfId="0" applyBorder="1" applyAlignment="1">
      <alignment horizontal="right"/>
    </xf>
    <xf numFmtId="6" fontId="0" fillId="0" borderId="2" xfId="0" applyNumberFormat="1" applyBorder="1"/>
    <xf numFmtId="0" fontId="0" fillId="0" borderId="0" xfId="0" applyBorder="1" applyAlignment="1">
      <alignment horizontal="right"/>
    </xf>
    <xf numFmtId="0" fontId="0" fillId="4" borderId="3" xfId="5" applyFont="1"/>
    <xf numFmtId="37" fontId="1" fillId="6" borderId="4" xfId="7" applyNumberFormat="1" applyFont="1" applyAlignment="1">
      <alignment horizontal="right"/>
    </xf>
    <xf numFmtId="3" fontId="1" fillId="6" borderId="4" xfId="7" applyNumberFormat="1" applyFont="1"/>
    <xf numFmtId="165" fontId="1" fillId="6" borderId="4" xfId="7" applyNumberFormat="1" applyFont="1"/>
    <xf numFmtId="165" fontId="1" fillId="6" borderId="6" xfId="7" applyNumberFormat="1" applyFont="1" applyBorder="1"/>
    <xf numFmtId="165" fontId="1" fillId="6" borderId="8" xfId="7" applyNumberFormat="1" applyFont="1" applyBorder="1"/>
    <xf numFmtId="165" fontId="1" fillId="6" borderId="9" xfId="7" applyNumberFormat="1" applyFont="1" applyBorder="1"/>
    <xf numFmtId="9" fontId="1" fillId="6" borderId="4" xfId="7" applyNumberFormat="1" applyFont="1"/>
    <xf numFmtId="9" fontId="1" fillId="6" borderId="10" xfId="7" applyNumberFormat="1" applyFont="1" applyBorder="1"/>
    <xf numFmtId="0" fontId="0" fillId="0" borderId="0" xfId="0" applyFill="1"/>
    <xf numFmtId="0" fontId="1" fillId="6" borderId="4" xfId="7" applyFont="1"/>
    <xf numFmtId="167" fontId="1" fillId="6" borderId="4" xfId="7" applyNumberFormat="1" applyFont="1"/>
    <xf numFmtId="167" fontId="1" fillId="0" borderId="0" xfId="0" applyNumberFormat="1" applyFont="1"/>
    <xf numFmtId="3" fontId="1" fillId="6" borderId="9" xfId="7" applyNumberFormat="1" applyFont="1" applyBorder="1"/>
    <xf numFmtId="3" fontId="5" fillId="6" borderId="4" xfId="7" applyNumberFormat="1" applyFont="1"/>
    <xf numFmtId="165" fontId="5" fillId="6" borderId="4" xfId="7" applyNumberFormat="1" applyFont="1"/>
    <xf numFmtId="166" fontId="5" fillId="6" borderId="10" xfId="7" applyNumberFormat="1" applyFont="1" applyBorder="1"/>
    <xf numFmtId="0" fontId="5" fillId="6" borderId="10" xfId="7" applyFont="1" applyBorder="1"/>
    <xf numFmtId="3" fontId="5" fillId="6" borderId="10" xfId="7" applyNumberFormat="1" applyFont="1" applyBorder="1"/>
    <xf numFmtId="166" fontId="0" fillId="4" borderId="3" xfId="5" applyNumberFormat="1" applyFont="1"/>
    <xf numFmtId="0" fontId="0" fillId="4" borderId="11" xfId="5" applyFont="1" applyBorder="1"/>
    <xf numFmtId="0" fontId="0" fillId="4" borderId="5" xfId="5" applyFont="1" applyBorder="1"/>
    <xf numFmtId="39" fontId="0" fillId="4" borderId="3" xfId="5" applyNumberFormat="1" applyFont="1" applyAlignment="1" applyProtection="1">
      <alignment horizontal="right"/>
      <protection locked="0"/>
    </xf>
    <xf numFmtId="168" fontId="0" fillId="4" borderId="3" xfId="5" applyNumberFormat="1" applyFont="1" applyProtection="1">
      <protection locked="0"/>
    </xf>
    <xf numFmtId="0" fontId="0" fillId="4" borderId="3" xfId="5" applyFont="1" applyProtection="1">
      <protection locked="0"/>
    </xf>
    <xf numFmtId="3" fontId="0" fillId="4" borderId="5" xfId="5" applyNumberFormat="1" applyFont="1" applyBorder="1" applyProtection="1">
      <protection locked="0"/>
    </xf>
    <xf numFmtId="3" fontId="0" fillId="4" borderId="3" xfId="5" applyNumberFormat="1" applyFont="1" applyProtection="1">
      <protection locked="0"/>
    </xf>
    <xf numFmtId="3" fontId="0" fillId="4" borderId="7" xfId="5" applyNumberFormat="1" applyFont="1" applyBorder="1" applyProtection="1">
      <protection locked="0"/>
    </xf>
    <xf numFmtId="2" fontId="0" fillId="4" borderId="3" xfId="5" applyNumberFormat="1" applyFont="1" applyProtection="1">
      <protection locked="0"/>
    </xf>
    <xf numFmtId="0" fontId="3" fillId="2" borderId="1" xfId="1" applyFont="1" applyBorder="1" applyAlignment="1">
      <alignment horizontal="right"/>
    </xf>
    <xf numFmtId="44" fontId="0" fillId="4" borderId="3" xfId="5" applyNumberFormat="1" applyFont="1"/>
    <xf numFmtId="168" fontId="0" fillId="0" borderId="0" xfId="3" applyNumberFormat="1" applyFont="1" applyBorder="1" applyAlignment="1"/>
    <xf numFmtId="1" fontId="0" fillId="0" borderId="0" xfId="3" applyNumberFormat="1" applyFont="1"/>
    <xf numFmtId="1" fontId="5" fillId="6" borderId="4" xfId="7" applyNumberFormat="1" applyFont="1"/>
    <xf numFmtId="44" fontId="5" fillId="6" borderId="4" xfId="7" applyNumberFormat="1" applyFont="1"/>
    <xf numFmtId="0" fontId="3" fillId="3" borderId="1" xfId="2" applyFont="1" applyBorder="1" applyAlignment="1">
      <alignment horizontal="right"/>
    </xf>
    <xf numFmtId="37" fontId="1" fillId="6" borderId="4" xfId="7" applyNumberFormat="1" applyFont="1"/>
    <xf numFmtId="168" fontId="5" fillId="6" borderId="4" xfId="7" applyNumberFormat="1" applyFont="1" applyProtection="1">
      <protection locked="0"/>
    </xf>
    <xf numFmtId="3" fontId="8" fillId="5" borderId="4" xfId="6" applyNumberFormat="1" applyProtection="1">
      <protection locked="0"/>
    </xf>
    <xf numFmtId="0" fontId="3" fillId="3" borderId="2" xfId="2" applyFont="1" applyBorder="1"/>
    <xf numFmtId="37" fontId="0" fillId="7" borderId="3" xfId="5" applyNumberFormat="1" applyFont="1" applyFill="1" applyAlignment="1" applyProtection="1">
      <alignment horizontal="center"/>
      <protection locked="0"/>
    </xf>
    <xf numFmtId="37" fontId="0" fillId="7" borderId="3" xfId="5" applyNumberFormat="1" applyFont="1" applyFill="1" applyAlignment="1" applyProtection="1">
      <alignment horizontal="right"/>
      <protection locked="0"/>
    </xf>
    <xf numFmtId="0" fontId="0" fillId="7" borderId="3" xfId="5" applyFont="1" applyFill="1"/>
    <xf numFmtId="0" fontId="0" fillId="7" borderId="3" xfId="0" applyFill="1" applyBorder="1"/>
    <xf numFmtId="0" fontId="0" fillId="7" borderId="12" xfId="0" applyFill="1" applyBorder="1" applyAlignment="1">
      <alignment horizontal="right"/>
    </xf>
    <xf numFmtId="39" fontId="0" fillId="7" borderId="3" xfId="5" applyNumberFormat="1" applyFont="1" applyFill="1" applyAlignment="1" applyProtection="1">
      <alignment horizontal="right"/>
      <protection locked="0"/>
    </xf>
    <xf numFmtId="3" fontId="1" fillId="0" borderId="0" xfId="0" applyNumberFormat="1" applyFont="1"/>
    <xf numFmtId="37" fontId="1" fillId="8" borderId="13" xfId="7" applyNumberFormat="1" applyFont="1" applyFill="1" applyBorder="1" applyAlignment="1" applyProtection="1">
      <alignment horizontal="right"/>
      <protection locked="0"/>
    </xf>
    <xf numFmtId="3" fontId="1" fillId="8" borderId="0" xfId="0" applyNumberFormat="1" applyFont="1" applyFill="1"/>
    <xf numFmtId="168" fontId="1" fillId="8" borderId="4" xfId="7" applyNumberFormat="1" applyFont="1" applyFill="1"/>
    <xf numFmtId="3" fontId="0" fillId="7" borderId="3" xfId="5" applyNumberFormat="1" applyFont="1" applyFill="1" applyProtection="1">
      <protection locked="0"/>
    </xf>
    <xf numFmtId="166" fontId="5" fillId="6" borderId="8" xfId="7" applyNumberFormat="1" applyFont="1" applyBorder="1"/>
    <xf numFmtId="3" fontId="5" fillId="6" borderId="8" xfId="7" applyNumberFormat="1" applyFont="1" applyBorder="1"/>
    <xf numFmtId="166" fontId="1" fillId="6" borderId="8" xfId="7" applyNumberFormat="1" applyFont="1" applyBorder="1"/>
    <xf numFmtId="3" fontId="1" fillId="6" borderId="0" xfId="7" applyNumberFormat="1" applyFont="1" applyBorder="1"/>
    <xf numFmtId="165" fontId="1" fillId="6" borderId="0" xfId="7" applyNumberFormat="1" applyFont="1" applyBorder="1"/>
    <xf numFmtId="0" fontId="4" fillId="2" borderId="14" xfId="1" applyFont="1" applyBorder="1"/>
    <xf numFmtId="0" fontId="3" fillId="2" borderId="14" xfId="1" applyFont="1" applyBorder="1"/>
    <xf numFmtId="0" fontId="0" fillId="0" borderId="15" xfId="0" applyBorder="1"/>
    <xf numFmtId="9" fontId="0" fillId="7" borderId="0" xfId="0" applyNumberFormat="1" applyFill="1"/>
    <xf numFmtId="0" fontId="0" fillId="7" borderId="0" xfId="0" applyFill="1"/>
    <xf numFmtId="0" fontId="1" fillId="0" borderId="0" xfId="0" applyFont="1" applyAlignment="1">
      <alignment horizontal="left"/>
    </xf>
    <xf numFmtId="0" fontId="13" fillId="0" borderId="0" xfId="0" applyFont="1"/>
    <xf numFmtId="0" fontId="0" fillId="9" borderId="0" xfId="0" applyFill="1"/>
    <xf numFmtId="3" fontId="8" fillId="10" borderId="4" xfId="6" applyNumberFormat="1" applyFill="1" applyProtection="1">
      <protection locked="0"/>
    </xf>
    <xf numFmtId="0" fontId="0" fillId="10" borderId="0" xfId="0" applyFill="1"/>
    <xf numFmtId="0" fontId="0" fillId="8" borderId="0" xfId="0" applyFill="1"/>
    <xf numFmtId="2" fontId="0" fillId="0" borderId="0" xfId="0" applyNumberFormat="1" applyBorder="1"/>
    <xf numFmtId="2" fontId="0" fillId="7" borderId="0" xfId="0" applyNumberFormat="1" applyFill="1" applyBorder="1"/>
    <xf numFmtId="0" fontId="14" fillId="0" borderId="0" xfId="0" applyFont="1"/>
    <xf numFmtId="0" fontId="14" fillId="0" borderId="0" xfId="0" applyFont="1" applyAlignment="1">
      <alignment horizontal="left"/>
    </xf>
    <xf numFmtId="169" fontId="0" fillId="7" borderId="3" xfId="5" applyNumberFormat="1" applyFont="1" applyFill="1" applyAlignment="1" applyProtection="1">
      <alignment horizontal="right"/>
      <protection locked="0"/>
    </xf>
    <xf numFmtId="37" fontId="1" fillId="9" borderId="3" xfId="5" applyNumberFormat="1" applyFont="1" applyFill="1" applyAlignment="1" applyProtection="1">
      <alignment horizontal="right"/>
      <protection locked="0"/>
    </xf>
  </cellXfs>
  <cellStyles count="8">
    <cellStyle name="60% - Accent3" xfId="2" builtinId="40"/>
    <cellStyle name="Accent3" xfId="1" builtinId="37"/>
    <cellStyle name="Calculation" xfId="7" builtinId="22"/>
    <cellStyle name="Comma" xfId="3" builtinId="3"/>
    <cellStyle name="Currency" xfId="4" builtinId="4"/>
    <cellStyle name="Input" xfId="6" builtinId="20"/>
    <cellStyle name="Normal" xfId="0" builtinId="0"/>
    <cellStyle name="Note" xfId="5" builtinId="10"/>
  </cellStyles>
  <dxfs count="0"/>
  <tableStyles count="0" defaultTableStyle="TableStyleMedium2" defaultPivotStyle="PivotStyleLight16"/>
  <colors>
    <mruColors>
      <color rgb="FFFF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111"/>
  <sheetViews>
    <sheetView tabSelected="1" workbookViewId="0">
      <selection activeCell="G19" sqref="G19"/>
    </sheetView>
  </sheetViews>
  <sheetFormatPr defaultRowHeight="15"/>
  <cols>
    <col min="1" max="1" width="21.7109375" customWidth="1"/>
    <col min="2" max="2" width="12.7109375" customWidth="1"/>
    <col min="3" max="3" width="12.42578125" bestFit="1" customWidth="1"/>
    <col min="4" max="4" width="29.140625" customWidth="1"/>
    <col min="5" max="6" width="12.5703125" bestFit="1" customWidth="1"/>
    <col min="7" max="16" width="11.5703125" bestFit="1" customWidth="1"/>
  </cols>
  <sheetData>
    <row r="1" spans="1:16" ht="18.75">
      <c r="A1" s="100" t="s">
        <v>110</v>
      </c>
      <c r="G1" s="93" t="s">
        <v>104</v>
      </c>
      <c r="H1" s="93" t="s">
        <v>105</v>
      </c>
    </row>
    <row r="2" spans="1:16" ht="18.75">
      <c r="A2" s="101" t="s">
        <v>123</v>
      </c>
      <c r="B2" s="6"/>
      <c r="C2" s="6"/>
      <c r="D2" s="6"/>
      <c r="G2" s="91"/>
      <c r="H2" s="4" t="s">
        <v>108</v>
      </c>
    </row>
    <row r="3" spans="1:16">
      <c r="A3" s="4"/>
      <c r="B3" s="6"/>
      <c r="C3" s="6"/>
      <c r="D3" s="6"/>
      <c r="G3" s="91"/>
      <c r="H3" s="4" t="s">
        <v>126</v>
      </c>
    </row>
    <row r="4" spans="1:16">
      <c r="A4" s="4"/>
      <c r="B4" s="6"/>
      <c r="C4" s="6"/>
      <c r="D4" s="6"/>
      <c r="G4" s="91"/>
      <c r="H4" s="4" t="s">
        <v>122</v>
      </c>
    </row>
    <row r="5" spans="1:16">
      <c r="A5" s="4"/>
      <c r="B5" s="6"/>
      <c r="C5" s="6"/>
      <c r="D5" s="6"/>
      <c r="G5" s="91"/>
      <c r="H5" s="4" t="s">
        <v>112</v>
      </c>
    </row>
    <row r="6" spans="1:16">
      <c r="A6" s="4"/>
      <c r="B6" s="8" t="s">
        <v>114</v>
      </c>
      <c r="C6" s="8" t="s">
        <v>115</v>
      </c>
      <c r="D6" s="8" t="s">
        <v>116</v>
      </c>
      <c r="G6" s="94"/>
      <c r="H6" s="4" t="s">
        <v>109</v>
      </c>
    </row>
    <row r="7" spans="1:16">
      <c r="A7" s="4" t="s">
        <v>74</v>
      </c>
      <c r="B7">
        <v>35</v>
      </c>
      <c r="C7">
        <v>96</v>
      </c>
      <c r="D7" s="63">
        <f>B7*C7</f>
        <v>3360</v>
      </c>
      <c r="G7" s="96"/>
      <c r="H7" s="4" t="s">
        <v>107</v>
      </c>
    </row>
    <row r="8" spans="1:16">
      <c r="A8" s="4" t="s">
        <v>70</v>
      </c>
      <c r="B8" t="s">
        <v>71</v>
      </c>
      <c r="G8" s="97"/>
      <c r="H8" s="4" t="s">
        <v>106</v>
      </c>
    </row>
    <row r="9" spans="1:16">
      <c r="A9" s="4"/>
      <c r="H9" s="4" t="s">
        <v>111</v>
      </c>
    </row>
    <row r="10" spans="1:16">
      <c r="A10" s="4" t="s">
        <v>63</v>
      </c>
      <c r="B10" s="92" t="s">
        <v>124</v>
      </c>
      <c r="C10" s="8" t="s">
        <v>64</v>
      </c>
      <c r="D10" s="8" t="s">
        <v>113</v>
      </c>
      <c r="E10" s="24" t="s">
        <v>100</v>
      </c>
      <c r="F10" s="92" t="s">
        <v>81</v>
      </c>
      <c r="H10" s="4"/>
    </row>
    <row r="11" spans="1:16">
      <c r="A11" s="71">
        <v>52</v>
      </c>
      <c r="B11" s="102">
        <v>0.95</v>
      </c>
      <c r="C11" s="72">
        <v>2100</v>
      </c>
      <c r="D11" s="73">
        <v>6.45</v>
      </c>
      <c r="E11" s="74">
        <v>0.12</v>
      </c>
      <c r="F11" s="75">
        <v>5</v>
      </c>
      <c r="G11" s="4"/>
    </row>
    <row r="12" spans="1:16">
      <c r="A12" s="15"/>
      <c r="B12" s="15"/>
      <c r="C12" s="15"/>
      <c r="D12" s="17" t="s">
        <v>2</v>
      </c>
      <c r="E12" s="70">
        <v>0</v>
      </c>
      <c r="F12" s="16">
        <v>1</v>
      </c>
      <c r="G12" s="16">
        <f>F12+1</f>
        <v>2</v>
      </c>
      <c r="H12" s="16">
        <f t="shared" ref="H12:O12" si="0">G12+1</f>
        <v>3</v>
      </c>
      <c r="I12" s="16">
        <f t="shared" si="0"/>
        <v>4</v>
      </c>
      <c r="J12" s="16">
        <f t="shared" si="0"/>
        <v>5</v>
      </c>
      <c r="K12" s="16">
        <f t="shared" si="0"/>
        <v>6</v>
      </c>
      <c r="L12" s="16">
        <f t="shared" si="0"/>
        <v>7</v>
      </c>
      <c r="M12" s="16">
        <f t="shared" si="0"/>
        <v>8</v>
      </c>
      <c r="N12" s="16">
        <f t="shared" si="0"/>
        <v>9</v>
      </c>
      <c r="O12" s="16">
        <f t="shared" si="0"/>
        <v>10</v>
      </c>
      <c r="P12" s="66" t="s">
        <v>73</v>
      </c>
    </row>
    <row r="13" spans="1:16">
      <c r="A13" s="4" t="s">
        <v>125</v>
      </c>
      <c r="B13" s="8" t="s">
        <v>82</v>
      </c>
      <c r="C13" s="8" t="s">
        <v>0</v>
      </c>
      <c r="D13" s="4" t="s">
        <v>1</v>
      </c>
    </row>
    <row r="14" spans="1:16">
      <c r="A14" s="79">
        <f>((RaftAreaSf/CycleTime))*PlantsPerSqFt*WeeksofProd*Pack_Percentage</f>
        <v>133824.6</v>
      </c>
      <c r="B14" s="78">
        <f>((RaftAreaSf/CycleTime))*PlantsPerSqFt*WeeksofProd*ProdPerHole*Pack_Percentage</f>
        <v>16058.951999999999</v>
      </c>
      <c r="C14" s="76">
        <v>8.1999999999999993</v>
      </c>
      <c r="D14" t="s">
        <v>83</v>
      </c>
      <c r="E14" s="14" t="s">
        <v>18</v>
      </c>
      <c r="F14" s="32">
        <f>$B$14*$C$14</f>
        <v>131683.40639999998</v>
      </c>
      <c r="G14" s="32">
        <f>F14*$E$20</f>
        <v>135633.90859199999</v>
      </c>
      <c r="H14" s="32">
        <f t="shared" ref="H14:O14" si="1">G14*$E$20</f>
        <v>139702.92584976001</v>
      </c>
      <c r="I14" s="32">
        <f t="shared" si="1"/>
        <v>143894.01362525282</v>
      </c>
      <c r="J14" s="32">
        <f t="shared" si="1"/>
        <v>148210.83403401042</v>
      </c>
      <c r="K14" s="32">
        <f t="shared" si="1"/>
        <v>152657.15905503073</v>
      </c>
      <c r="L14" s="32">
        <f t="shared" si="1"/>
        <v>157236.87382668167</v>
      </c>
      <c r="M14" s="32">
        <f t="shared" si="1"/>
        <v>161953.98004148211</v>
      </c>
      <c r="N14" s="32">
        <f t="shared" si="1"/>
        <v>166812.59944272658</v>
      </c>
      <c r="O14" s="32">
        <f t="shared" si="1"/>
        <v>171816.97742600838</v>
      </c>
      <c r="P14" s="67">
        <f>SUM(F14:O14)</f>
        <v>1509602.6782929525</v>
      </c>
    </row>
    <row r="15" spans="1:16">
      <c r="A15" s="30"/>
      <c r="B15" s="103">
        <v>450</v>
      </c>
      <c r="C15" s="76">
        <v>2.5</v>
      </c>
      <c r="D15" s="13" t="s">
        <v>65</v>
      </c>
      <c r="E15" s="19" t="s">
        <v>19</v>
      </c>
      <c r="F15" s="32">
        <f>$B$15*C15</f>
        <v>1125</v>
      </c>
      <c r="G15" s="32">
        <f>F15*$E$20</f>
        <v>1158.75</v>
      </c>
      <c r="H15" s="32">
        <f t="shared" ref="H15:O16" si="2">G15*$E$20</f>
        <v>1193.5125</v>
      </c>
      <c r="I15" s="32">
        <f t="shared" si="2"/>
        <v>1229.3178750000002</v>
      </c>
      <c r="J15" s="32">
        <f t="shared" si="2"/>
        <v>1266.1974112500002</v>
      </c>
      <c r="K15" s="32">
        <f t="shared" si="2"/>
        <v>1304.1833335875003</v>
      </c>
      <c r="L15" s="32">
        <f t="shared" si="2"/>
        <v>1343.3088335951254</v>
      </c>
      <c r="M15" s="32">
        <f t="shared" si="2"/>
        <v>1383.6080986029792</v>
      </c>
      <c r="N15" s="32">
        <f t="shared" si="2"/>
        <v>1425.1163415610686</v>
      </c>
      <c r="O15" s="32">
        <f t="shared" si="2"/>
        <v>1467.8698318079007</v>
      </c>
      <c r="P15" s="67">
        <f>SUM(F15:O15)</f>
        <v>12896.864225404574</v>
      </c>
    </row>
    <row r="16" spans="1:16">
      <c r="A16" s="13"/>
      <c r="B16" s="98"/>
      <c r="C16" s="99">
        <v>1.1000000000000001</v>
      </c>
      <c r="D16" s="20" t="s">
        <v>117</v>
      </c>
      <c r="E16" s="19"/>
      <c r="F16" s="32">
        <f>$A$14*$C$16</f>
        <v>147207.06000000003</v>
      </c>
      <c r="G16" s="32">
        <f>F16*$E$20</f>
        <v>151623.27180000005</v>
      </c>
      <c r="H16" s="32">
        <f t="shared" si="2"/>
        <v>156171.96995400006</v>
      </c>
      <c r="I16" s="32">
        <f t="shared" si="2"/>
        <v>160857.12905262006</v>
      </c>
      <c r="J16" s="32">
        <f t="shared" si="2"/>
        <v>165682.84292419866</v>
      </c>
      <c r="K16" s="32">
        <f t="shared" si="2"/>
        <v>170653.32821192461</v>
      </c>
      <c r="L16" s="32">
        <f t="shared" si="2"/>
        <v>175772.92805828236</v>
      </c>
      <c r="M16" s="32">
        <f t="shared" si="2"/>
        <v>181046.11590003083</v>
      </c>
      <c r="N16" s="32">
        <f t="shared" si="2"/>
        <v>186477.49937703175</v>
      </c>
      <c r="O16" s="32">
        <f t="shared" si="2"/>
        <v>192071.82435834271</v>
      </c>
      <c r="P16" s="67">
        <f>SUM(F16:O16)</f>
        <v>1687563.9696364312</v>
      </c>
    </row>
    <row r="17" spans="1:16">
      <c r="D17" s="8" t="s">
        <v>84</v>
      </c>
      <c r="E17" s="14"/>
      <c r="F17" s="33">
        <f>F14+F15</f>
        <v>132808.40639999998</v>
      </c>
      <c r="G17" s="33">
        <f>+G14+G15</f>
        <v>136792.65859199999</v>
      </c>
      <c r="H17" s="33">
        <f t="shared" ref="H17:O17" si="3">H14+H15</f>
        <v>140896.43834976002</v>
      </c>
      <c r="I17" s="33">
        <f t="shared" si="3"/>
        <v>145123.33150025283</v>
      </c>
      <c r="J17" s="33">
        <f t="shared" si="3"/>
        <v>149477.03144526042</v>
      </c>
      <c r="K17" s="33">
        <f t="shared" si="3"/>
        <v>153961.34238861824</v>
      </c>
      <c r="L17" s="33">
        <f t="shared" si="3"/>
        <v>158580.1826602768</v>
      </c>
      <c r="M17" s="33">
        <f t="shared" si="3"/>
        <v>163337.58814008508</v>
      </c>
      <c r="N17" s="33">
        <f t="shared" si="3"/>
        <v>168237.71578428766</v>
      </c>
      <c r="O17" s="33">
        <f t="shared" si="3"/>
        <v>173284.84725781629</v>
      </c>
      <c r="P17" s="67">
        <f>SUM(F17:O17)</f>
        <v>1522499.5425183573</v>
      </c>
    </row>
    <row r="18" spans="1:16">
      <c r="D18" s="8" t="s">
        <v>118</v>
      </c>
      <c r="E18" s="14"/>
      <c r="F18" s="77">
        <f t="shared" ref="F18:O18" si="4">SUM(F15:F16)</f>
        <v>148332.06000000003</v>
      </c>
      <c r="G18" s="77">
        <f t="shared" si="4"/>
        <v>152782.02180000005</v>
      </c>
      <c r="H18" s="77">
        <f t="shared" si="4"/>
        <v>157365.48245400007</v>
      </c>
      <c r="I18" s="77">
        <f t="shared" si="4"/>
        <v>162086.44692762007</v>
      </c>
      <c r="J18" s="77">
        <f t="shared" si="4"/>
        <v>166949.04033544866</v>
      </c>
      <c r="K18" s="77">
        <f t="shared" si="4"/>
        <v>171957.51154551213</v>
      </c>
      <c r="L18" s="77">
        <f t="shared" si="4"/>
        <v>177116.23689187749</v>
      </c>
      <c r="M18" s="77">
        <f t="shared" si="4"/>
        <v>182429.7239986338</v>
      </c>
      <c r="N18" s="77">
        <f t="shared" si="4"/>
        <v>187902.61571859283</v>
      </c>
      <c r="O18" s="77">
        <f t="shared" si="4"/>
        <v>193539.69419015062</v>
      </c>
      <c r="P18" s="77">
        <f>SUM(F18:O18)</f>
        <v>1700460.8338618358</v>
      </c>
    </row>
    <row r="20" spans="1:16">
      <c r="D20" s="6" t="s">
        <v>86</v>
      </c>
      <c r="E20" s="53">
        <v>1.03</v>
      </c>
    </row>
    <row r="21" spans="1:16">
      <c r="D21" s="4"/>
      <c r="E21" s="6" t="s">
        <v>53</v>
      </c>
      <c r="F21" s="6"/>
    </row>
    <row r="22" spans="1:16">
      <c r="C22" s="4" t="s">
        <v>85</v>
      </c>
      <c r="E22" s="80">
        <f>((RaftAreaSf/CycleTime))*PlantsPerSqFt*ProdPerHole*Pack_Percentage</f>
        <v>308.82599999999996</v>
      </c>
      <c r="F22" s="4"/>
    </row>
    <row r="23" spans="1:16">
      <c r="A23" s="23" t="s">
        <v>3</v>
      </c>
      <c r="B23" s="18"/>
      <c r="C23" s="60" t="s">
        <v>76</v>
      </c>
      <c r="D23" s="17" t="s">
        <v>2</v>
      </c>
      <c r="E23" s="16">
        <v>0</v>
      </c>
      <c r="F23" s="16">
        <v>1</v>
      </c>
      <c r="G23" s="16">
        <f>F23+1</f>
        <v>2</v>
      </c>
      <c r="H23" s="16">
        <f t="shared" ref="H23:O23" si="5">G23+1</f>
        <v>3</v>
      </c>
      <c r="I23" s="16">
        <f t="shared" si="5"/>
        <v>4</v>
      </c>
      <c r="J23" s="16">
        <f t="shared" si="5"/>
        <v>5</v>
      </c>
      <c r="K23" s="16">
        <f t="shared" si="5"/>
        <v>6</v>
      </c>
      <c r="L23" s="16">
        <f t="shared" si="5"/>
        <v>7</v>
      </c>
      <c r="M23" s="16">
        <f t="shared" si="5"/>
        <v>8</v>
      </c>
      <c r="N23" s="16">
        <f t="shared" si="5"/>
        <v>9</v>
      </c>
      <c r="O23" s="16">
        <f t="shared" si="5"/>
        <v>10</v>
      </c>
    </row>
    <row r="24" spans="1:16">
      <c r="A24" t="s">
        <v>77</v>
      </c>
      <c r="B24" s="68">
        <f>$D$7</f>
        <v>3360</v>
      </c>
      <c r="C24" s="65">
        <f>$E$25/$B$24</f>
        <v>5.9523809523809526</v>
      </c>
      <c r="D24" t="s">
        <v>4</v>
      </c>
      <c r="E24" s="57">
        <v>0</v>
      </c>
    </row>
    <row r="25" spans="1:16">
      <c r="A25" t="s">
        <v>78</v>
      </c>
      <c r="B25" s="55">
        <v>525</v>
      </c>
      <c r="C25" s="61">
        <v>7</v>
      </c>
      <c r="D25" t="s">
        <v>75</v>
      </c>
      <c r="E25" s="81">
        <v>20000</v>
      </c>
    </row>
    <row r="26" spans="1:16">
      <c r="C26" s="25"/>
      <c r="E26" s="57"/>
    </row>
    <row r="27" spans="1:16">
      <c r="A27" s="20" t="s">
        <v>79</v>
      </c>
      <c r="B27" s="31">
        <v>45</v>
      </c>
      <c r="C27" s="61">
        <v>20</v>
      </c>
      <c r="D27" s="62" t="s">
        <v>69</v>
      </c>
      <c r="E27" s="64">
        <f>B27*C27</f>
        <v>900</v>
      </c>
    </row>
    <row r="28" spans="1:16">
      <c r="D28" t="s">
        <v>54</v>
      </c>
      <c r="E28" s="95">
        <v>1100</v>
      </c>
    </row>
    <row r="29" spans="1:16">
      <c r="D29" t="s">
        <v>87</v>
      </c>
      <c r="E29" s="69">
        <f>B25*C25</f>
        <v>3675</v>
      </c>
    </row>
    <row r="30" spans="1:16">
      <c r="A30" t="s">
        <v>52</v>
      </c>
      <c r="B30" s="54">
        <v>2057</v>
      </c>
      <c r="D30" t="s">
        <v>5</v>
      </c>
      <c r="E30" s="69">
        <v>750</v>
      </c>
    </row>
    <row r="31" spans="1:16">
      <c r="D31" t="s">
        <v>6</v>
      </c>
      <c r="E31" s="69">
        <v>1000</v>
      </c>
    </row>
    <row r="32" spans="1:16">
      <c r="D32" t="s">
        <v>88</v>
      </c>
      <c r="E32" s="69">
        <v>1200</v>
      </c>
    </row>
    <row r="33" spans="1:15">
      <c r="D33" t="s">
        <v>80</v>
      </c>
      <c r="E33" s="69">
        <v>450</v>
      </c>
    </row>
    <row r="34" spans="1:15">
      <c r="B34" s="2"/>
      <c r="D34" t="s">
        <v>61</v>
      </c>
      <c r="E34" s="69">
        <f>B25*4*0.98</f>
        <v>2058</v>
      </c>
    </row>
    <row r="35" spans="1:15">
      <c r="D35" t="s">
        <v>62</v>
      </c>
      <c r="E35" s="58">
        <v>5000</v>
      </c>
    </row>
    <row r="36" spans="1:15">
      <c r="A36" t="s">
        <v>59</v>
      </c>
      <c r="B36" s="43">
        <f>SUM(E28:E35)/$B$24</f>
        <v>4.5336309523809524</v>
      </c>
      <c r="D36" s="3" t="s">
        <v>7</v>
      </c>
      <c r="E36" s="35">
        <f>SUM(E24:E35)</f>
        <v>36133</v>
      </c>
      <c r="F36" s="1"/>
      <c r="G36" s="1"/>
      <c r="H36" s="1"/>
      <c r="I36" s="1"/>
      <c r="J36" s="1"/>
      <c r="K36" s="1"/>
      <c r="L36" s="1"/>
      <c r="M36" s="1"/>
      <c r="N36" s="1"/>
      <c r="O36" s="1"/>
    </row>
    <row r="39" spans="1:15">
      <c r="D39" t="s">
        <v>66</v>
      </c>
      <c r="E39" s="57">
        <v>22000</v>
      </c>
    </row>
    <row r="40" spans="1:15">
      <c r="D40" t="s">
        <v>60</v>
      </c>
      <c r="E40" s="57">
        <v>50</v>
      </c>
    </row>
    <row r="41" spans="1:15">
      <c r="D41" t="s">
        <v>67</v>
      </c>
      <c r="E41" s="57">
        <v>400</v>
      </c>
    </row>
    <row r="42" spans="1:15">
      <c r="D42" t="s">
        <v>68</v>
      </c>
      <c r="E42" s="57">
        <v>4000</v>
      </c>
    </row>
    <row r="43" spans="1:15">
      <c r="D43" t="s">
        <v>89</v>
      </c>
      <c r="E43" s="57">
        <v>1500</v>
      </c>
    </row>
    <row r="44" spans="1:15">
      <c r="D44" t="s">
        <v>90</v>
      </c>
      <c r="E44" s="56">
        <v>2200</v>
      </c>
    </row>
    <row r="45" spans="1:15">
      <c r="D45" s="5" t="s">
        <v>8</v>
      </c>
      <c r="E45" s="36">
        <f>SUM(E39:E44)</f>
        <v>30150</v>
      </c>
    </row>
    <row r="46" spans="1:15" ht="14.25" customHeight="1">
      <c r="A46" t="s">
        <v>58</v>
      </c>
      <c r="B46" s="42">
        <f>SUM(E39:E44)/$B$24</f>
        <v>8.9732142857142865</v>
      </c>
      <c r="D46" s="3" t="s">
        <v>9</v>
      </c>
      <c r="E46" s="35">
        <f>E45+E36</f>
        <v>66283</v>
      </c>
      <c r="F46" s="1"/>
      <c r="G46" s="1"/>
      <c r="H46" s="1"/>
      <c r="I46" s="1"/>
      <c r="J46" s="1"/>
      <c r="K46" s="1"/>
      <c r="L46" s="1"/>
      <c r="M46" s="1"/>
      <c r="N46" s="1"/>
      <c r="O46" s="1"/>
    </row>
    <row r="48" spans="1:15">
      <c r="A48" t="s">
        <v>57</v>
      </c>
      <c r="B48" s="42">
        <f>SUM($E$25+$E$36+$E$45)/$B$24</f>
        <v>25.679464285714285</v>
      </c>
      <c r="E48" s="26">
        <f>(E46+E25)/B24</f>
        <v>25.679464285714285</v>
      </c>
    </row>
    <row r="50" spans="1:16">
      <c r="A50" s="23" t="s">
        <v>10</v>
      </c>
      <c r="B50" s="18"/>
      <c r="C50" s="18"/>
      <c r="D50" s="17" t="s">
        <v>2</v>
      </c>
      <c r="E50" s="16">
        <v>0</v>
      </c>
      <c r="F50" s="16">
        <v>1</v>
      </c>
      <c r="G50" s="16">
        <f>F50+1</f>
        <v>2</v>
      </c>
      <c r="H50" s="16">
        <f t="shared" ref="H50:O50" si="6">G50+1</f>
        <v>3</v>
      </c>
      <c r="I50" s="16">
        <f t="shared" si="6"/>
        <v>4</v>
      </c>
      <c r="J50" s="16">
        <f t="shared" si="6"/>
        <v>5</v>
      </c>
      <c r="K50" s="16">
        <f t="shared" si="6"/>
        <v>6</v>
      </c>
      <c r="L50" s="16">
        <f t="shared" si="6"/>
        <v>7</v>
      </c>
      <c r="M50" s="16">
        <f t="shared" si="6"/>
        <v>8</v>
      </c>
      <c r="N50" s="16">
        <f t="shared" si="6"/>
        <v>9</v>
      </c>
      <c r="O50" s="16">
        <f t="shared" si="6"/>
        <v>10</v>
      </c>
    </row>
    <row r="51" spans="1:16" ht="30">
      <c r="E51" s="9" t="s">
        <v>13</v>
      </c>
    </row>
    <row r="52" spans="1:16">
      <c r="D52" t="s">
        <v>24</v>
      </c>
      <c r="E52" s="38">
        <f>F52/$F$69</f>
        <v>0.57291268810633267</v>
      </c>
      <c r="F52" s="69">
        <v>31200</v>
      </c>
      <c r="G52" s="45">
        <f>F52*(1+$E$73)</f>
        <v>34320</v>
      </c>
      <c r="H52" s="45">
        <f t="shared" ref="H52:O52" si="7">G52*(1+$E$72)</f>
        <v>35349.599999999999</v>
      </c>
      <c r="I52" s="45">
        <f t="shared" si="7"/>
        <v>36410.087999999996</v>
      </c>
      <c r="J52" s="45">
        <f t="shared" si="7"/>
        <v>37502.390639999998</v>
      </c>
      <c r="K52" s="45">
        <f t="shared" si="7"/>
        <v>38627.462359199999</v>
      </c>
      <c r="L52" s="45">
        <f t="shared" si="7"/>
        <v>39786.286229976002</v>
      </c>
      <c r="M52" s="45">
        <f t="shared" si="7"/>
        <v>40979.874816875286</v>
      </c>
      <c r="N52" s="45">
        <f t="shared" si="7"/>
        <v>42209.271061381543</v>
      </c>
      <c r="O52" s="45">
        <f t="shared" si="7"/>
        <v>43475.549193222992</v>
      </c>
      <c r="P52" s="11"/>
    </row>
    <row r="53" spans="1:16">
      <c r="A53" s="4" t="s">
        <v>101</v>
      </c>
      <c r="B53" s="91">
        <v>0.12</v>
      </c>
      <c r="C53" s="2">
        <v>5606</v>
      </c>
      <c r="D53" t="s">
        <v>22</v>
      </c>
      <c r="E53" s="38">
        <f t="shared" ref="E53:E69" si="8">F53/$F$69</f>
        <v>1.235287895970808E-2</v>
      </c>
      <c r="F53" s="69">
        <f>(B53*C53)</f>
        <v>672.72</v>
      </c>
      <c r="G53" s="45">
        <f>F53*(1+$E$73)</f>
        <v>739.99200000000008</v>
      </c>
      <c r="H53" s="45">
        <f t="shared" ref="H53:O53" si="9">G53*(1+$E$73)</f>
        <v>813.99120000000016</v>
      </c>
      <c r="I53" s="45">
        <f t="shared" si="9"/>
        <v>895.3903200000002</v>
      </c>
      <c r="J53" s="45">
        <f t="shared" si="9"/>
        <v>984.92935200000034</v>
      </c>
      <c r="K53" s="45">
        <f t="shared" si="9"/>
        <v>1083.4222872000005</v>
      </c>
      <c r="L53" s="45">
        <f t="shared" si="9"/>
        <v>1191.7645159200006</v>
      </c>
      <c r="M53" s="45">
        <f t="shared" si="9"/>
        <v>1310.9409675120007</v>
      </c>
      <c r="N53" s="45">
        <f t="shared" si="9"/>
        <v>1442.0350642632009</v>
      </c>
      <c r="O53" s="45">
        <f t="shared" si="9"/>
        <v>1586.2385706895211</v>
      </c>
    </row>
    <row r="54" spans="1:16">
      <c r="A54" s="4" t="s">
        <v>102</v>
      </c>
      <c r="B54" s="91">
        <v>0.12</v>
      </c>
      <c r="C54" s="2">
        <v>1382</v>
      </c>
      <c r="D54" t="s">
        <v>56</v>
      </c>
      <c r="E54" s="38">
        <f t="shared" si="8"/>
        <v>3.045251288319045E-3</v>
      </c>
      <c r="F54" s="69">
        <f>(B54*C54)</f>
        <v>165.84</v>
      </c>
      <c r="G54" s="45">
        <f>F54*(1+$E$73)</f>
        <v>182.42400000000001</v>
      </c>
      <c r="H54" s="45">
        <f t="shared" ref="H54:O54" si="10">G54*(1+$E$73)</f>
        <v>200.66640000000001</v>
      </c>
      <c r="I54" s="45">
        <f t="shared" si="10"/>
        <v>220.73304000000002</v>
      </c>
      <c r="J54" s="45">
        <f t="shared" si="10"/>
        <v>242.80634400000002</v>
      </c>
      <c r="K54" s="45">
        <f t="shared" si="10"/>
        <v>267.08697840000002</v>
      </c>
      <c r="L54" s="45">
        <f t="shared" si="10"/>
        <v>293.79567624000003</v>
      </c>
      <c r="M54" s="45">
        <f t="shared" si="10"/>
        <v>323.17524386400004</v>
      </c>
      <c r="N54" s="45">
        <f t="shared" si="10"/>
        <v>355.49276825040005</v>
      </c>
      <c r="O54" s="45">
        <f t="shared" si="10"/>
        <v>391.04204507544006</v>
      </c>
    </row>
    <row r="55" spans="1:16">
      <c r="D55" t="s">
        <v>23</v>
      </c>
      <c r="E55" s="38">
        <f t="shared" si="8"/>
        <v>2.1116974080842389E-2</v>
      </c>
      <c r="F55" s="57">
        <v>1150</v>
      </c>
      <c r="G55" s="45">
        <f>F55*(1+$E$73)</f>
        <v>1265</v>
      </c>
      <c r="H55" s="45">
        <f t="shared" ref="H55:O55" si="11">G55*(1+$E$73)</f>
        <v>1391.5</v>
      </c>
      <c r="I55" s="45">
        <f t="shared" si="11"/>
        <v>1530.65</v>
      </c>
      <c r="J55" s="45">
        <f t="shared" si="11"/>
        <v>1683.7150000000001</v>
      </c>
      <c r="K55" s="45">
        <f t="shared" si="11"/>
        <v>1852.0865000000003</v>
      </c>
      <c r="L55" s="45">
        <f t="shared" si="11"/>
        <v>2037.2951500000006</v>
      </c>
      <c r="M55" s="45">
        <f t="shared" si="11"/>
        <v>2241.0246650000008</v>
      </c>
      <c r="N55" s="45">
        <f t="shared" si="11"/>
        <v>2465.1271315000013</v>
      </c>
      <c r="O55" s="45">
        <f t="shared" si="11"/>
        <v>2711.6398446500016</v>
      </c>
      <c r="P55" s="11"/>
    </row>
    <row r="56" spans="1:16">
      <c r="D56" t="s">
        <v>55</v>
      </c>
      <c r="E56" s="38">
        <f t="shared" si="8"/>
        <v>1.5608198233666113E-2</v>
      </c>
      <c r="F56" s="57">
        <v>850</v>
      </c>
      <c r="G56" s="45">
        <f>F56*(1+$E$73)</f>
        <v>935.00000000000011</v>
      </c>
      <c r="H56" s="45">
        <f t="shared" ref="H56:O56" si="12">G56*(1+$E$73)</f>
        <v>1028.5000000000002</v>
      </c>
      <c r="I56" s="45">
        <f t="shared" si="12"/>
        <v>1131.3500000000004</v>
      </c>
      <c r="J56" s="45">
        <f t="shared" si="12"/>
        <v>1244.4850000000006</v>
      </c>
      <c r="K56" s="45">
        <f t="shared" si="12"/>
        <v>1368.9335000000008</v>
      </c>
      <c r="L56" s="45">
        <f t="shared" si="12"/>
        <v>1505.8268500000011</v>
      </c>
      <c r="M56" s="45">
        <f t="shared" si="12"/>
        <v>1656.4095350000014</v>
      </c>
      <c r="N56" s="45">
        <f t="shared" si="12"/>
        <v>1822.0504885000016</v>
      </c>
      <c r="O56" s="45">
        <f t="shared" si="12"/>
        <v>2004.255537350002</v>
      </c>
      <c r="P56" s="11"/>
    </row>
    <row r="57" spans="1:16">
      <c r="D57" t="s">
        <v>25</v>
      </c>
      <c r="E57" s="38">
        <f t="shared" si="8"/>
        <v>5.5087758471762749E-3</v>
      </c>
      <c r="F57" s="57">
        <v>300</v>
      </c>
      <c r="G57" s="45">
        <f t="shared" ref="G57:G68" si="13">F57*(1+$E$72)</f>
        <v>309</v>
      </c>
      <c r="H57" s="45">
        <f t="shared" ref="H57:O57" si="14">G57*(1+$E$72)</f>
        <v>318.27</v>
      </c>
      <c r="I57" s="45">
        <f t="shared" si="14"/>
        <v>327.81810000000002</v>
      </c>
      <c r="J57" s="45">
        <f t="shared" si="14"/>
        <v>337.65264300000001</v>
      </c>
      <c r="K57" s="45">
        <f t="shared" si="14"/>
        <v>347.78222228999999</v>
      </c>
      <c r="L57" s="45">
        <f t="shared" si="14"/>
        <v>358.21568895870001</v>
      </c>
      <c r="M57" s="45">
        <f t="shared" si="14"/>
        <v>368.96215962746101</v>
      </c>
      <c r="N57" s="45">
        <f t="shared" si="14"/>
        <v>380.03102441628482</v>
      </c>
      <c r="O57" s="45">
        <f t="shared" si="14"/>
        <v>391.4319551487734</v>
      </c>
    </row>
    <row r="58" spans="1:16">
      <c r="A58" s="4" t="s">
        <v>103</v>
      </c>
      <c r="B58" s="91">
        <v>0.67</v>
      </c>
      <c r="D58" s="40" t="s">
        <v>26</v>
      </c>
      <c r="E58" s="38">
        <f t="shared" si="8"/>
        <v>1.6526327541528826E-2</v>
      </c>
      <c r="F58" s="69">
        <f>(B15*2)</f>
        <v>900</v>
      </c>
      <c r="G58" s="45">
        <f t="shared" si="13"/>
        <v>927</v>
      </c>
      <c r="H58" s="45">
        <f t="shared" ref="H58:O58" si="15">G58*(1+$E$72)</f>
        <v>954.81000000000006</v>
      </c>
      <c r="I58" s="45">
        <f t="shared" si="15"/>
        <v>983.4543000000001</v>
      </c>
      <c r="J58" s="45">
        <f t="shared" si="15"/>
        <v>1012.9579290000001</v>
      </c>
      <c r="K58" s="45">
        <f t="shared" si="15"/>
        <v>1043.3466668700003</v>
      </c>
      <c r="L58" s="45">
        <f t="shared" si="15"/>
        <v>1074.6470668761003</v>
      </c>
      <c r="M58" s="45">
        <f t="shared" si="15"/>
        <v>1106.8864788823835</v>
      </c>
      <c r="N58" s="45">
        <f t="shared" si="15"/>
        <v>1140.093073248855</v>
      </c>
      <c r="O58" s="45">
        <f t="shared" si="15"/>
        <v>1174.2958654463207</v>
      </c>
    </row>
    <row r="59" spans="1:16">
      <c r="D59" t="s">
        <v>27</v>
      </c>
      <c r="E59" s="38">
        <f t="shared" si="8"/>
        <v>2.20351033887051E-2</v>
      </c>
      <c r="F59" s="69">
        <v>1200</v>
      </c>
      <c r="G59" s="45">
        <f t="shared" si="13"/>
        <v>1236</v>
      </c>
      <c r="H59" s="45">
        <f t="shared" ref="H59:O59" si="16">G59*(1+$E$72)</f>
        <v>1273.08</v>
      </c>
      <c r="I59" s="45">
        <f t="shared" si="16"/>
        <v>1311.2724000000001</v>
      </c>
      <c r="J59" s="45">
        <f t="shared" si="16"/>
        <v>1350.610572</v>
      </c>
      <c r="K59" s="45">
        <f t="shared" si="16"/>
        <v>1391.12888916</v>
      </c>
      <c r="L59" s="45">
        <f t="shared" si="16"/>
        <v>1432.8627558348001</v>
      </c>
      <c r="M59" s="45">
        <f t="shared" si="16"/>
        <v>1475.848638509844</v>
      </c>
      <c r="N59" s="45">
        <f t="shared" si="16"/>
        <v>1520.1240976651393</v>
      </c>
      <c r="O59" s="45">
        <f t="shared" si="16"/>
        <v>1565.7278205950936</v>
      </c>
    </row>
    <row r="60" spans="1:16">
      <c r="A60" t="s">
        <v>51</v>
      </c>
      <c r="B60" s="41">
        <f>40/128</f>
        <v>0.3125</v>
      </c>
      <c r="D60" s="40" t="s">
        <v>28</v>
      </c>
      <c r="E60" s="38">
        <f t="shared" si="8"/>
        <v>1.0099422386489839E-2</v>
      </c>
      <c r="F60" s="69">
        <v>550</v>
      </c>
      <c r="G60" s="45">
        <f t="shared" si="13"/>
        <v>566.5</v>
      </c>
      <c r="H60" s="45">
        <f t="shared" ref="H60:O60" si="17">G60*(1+$E$72)</f>
        <v>583.495</v>
      </c>
      <c r="I60" s="45">
        <f t="shared" si="17"/>
        <v>600.99985000000004</v>
      </c>
      <c r="J60" s="45">
        <f t="shared" si="17"/>
        <v>619.02984550000008</v>
      </c>
      <c r="K60" s="45">
        <f t="shared" si="17"/>
        <v>637.60074086500015</v>
      </c>
      <c r="L60" s="45">
        <f t="shared" si="17"/>
        <v>656.72876309095022</v>
      </c>
      <c r="M60" s="45">
        <f t="shared" si="17"/>
        <v>676.43062598367874</v>
      </c>
      <c r="N60" s="45">
        <f t="shared" si="17"/>
        <v>696.72354476318912</v>
      </c>
      <c r="O60" s="45">
        <f t="shared" si="17"/>
        <v>717.62525110608476</v>
      </c>
    </row>
    <row r="61" spans="1:16">
      <c r="D61" t="s">
        <v>29</v>
      </c>
      <c r="E61" s="38">
        <f t="shared" si="8"/>
        <v>9.1812930786271257E-2</v>
      </c>
      <c r="F61" s="57">
        <v>5000</v>
      </c>
      <c r="G61" s="45">
        <f t="shared" si="13"/>
        <v>5150</v>
      </c>
      <c r="H61" s="45">
        <f t="shared" ref="H61:O61" si="18">G61*(1+$E$72)</f>
        <v>5304.5</v>
      </c>
      <c r="I61" s="45">
        <f t="shared" si="18"/>
        <v>5463.6350000000002</v>
      </c>
      <c r="J61" s="45">
        <f t="shared" si="18"/>
        <v>5627.5440500000004</v>
      </c>
      <c r="K61" s="45">
        <f t="shared" si="18"/>
        <v>5796.3703715000001</v>
      </c>
      <c r="L61" s="45">
        <f t="shared" si="18"/>
        <v>5970.2614826449999</v>
      </c>
      <c r="M61" s="45">
        <f t="shared" si="18"/>
        <v>6149.3693271243501</v>
      </c>
      <c r="N61" s="45">
        <f t="shared" si="18"/>
        <v>6333.8504069380806</v>
      </c>
      <c r="O61" s="45">
        <f t="shared" si="18"/>
        <v>6523.865919146223</v>
      </c>
    </row>
    <row r="62" spans="1:16">
      <c r="D62" t="s">
        <v>30</v>
      </c>
      <c r="E62" s="38">
        <f t="shared" si="8"/>
        <v>5.5087758471762754E-2</v>
      </c>
      <c r="F62" s="57">
        <v>3000</v>
      </c>
      <c r="G62" s="45">
        <f t="shared" si="13"/>
        <v>3090</v>
      </c>
      <c r="H62" s="45">
        <f t="shared" ref="H62:O62" si="19">G62*(1+$E$72)</f>
        <v>3182.7000000000003</v>
      </c>
      <c r="I62" s="45">
        <f t="shared" si="19"/>
        <v>3278.1810000000005</v>
      </c>
      <c r="J62" s="45">
        <f t="shared" si="19"/>
        <v>3376.5264300000008</v>
      </c>
      <c r="K62" s="45">
        <f t="shared" si="19"/>
        <v>3477.8222229000007</v>
      </c>
      <c r="L62" s="45">
        <f t="shared" si="19"/>
        <v>3582.1568895870009</v>
      </c>
      <c r="M62" s="45">
        <f t="shared" si="19"/>
        <v>3689.621596274611</v>
      </c>
      <c r="N62" s="45">
        <f t="shared" si="19"/>
        <v>3800.3102441628494</v>
      </c>
      <c r="O62" s="45">
        <f t="shared" si="19"/>
        <v>3914.3195514877348</v>
      </c>
    </row>
    <row r="63" spans="1:16">
      <c r="D63" t="s">
        <v>31</v>
      </c>
      <c r="E63" s="38">
        <f t="shared" si="8"/>
        <v>7.3450344629017006E-2</v>
      </c>
      <c r="F63" s="57">
        <v>4000</v>
      </c>
      <c r="G63" s="45">
        <f t="shared" si="13"/>
        <v>4120</v>
      </c>
      <c r="H63" s="45">
        <f t="shared" ref="H63:O63" si="20">G63*(1+$E$72)</f>
        <v>4243.6000000000004</v>
      </c>
      <c r="I63" s="45">
        <f t="shared" si="20"/>
        <v>4370.9080000000004</v>
      </c>
      <c r="J63" s="45">
        <f t="shared" si="20"/>
        <v>4502.0352400000002</v>
      </c>
      <c r="K63" s="45">
        <f t="shared" si="20"/>
        <v>4637.0962972000007</v>
      </c>
      <c r="L63" s="45">
        <f t="shared" si="20"/>
        <v>4776.2091861160006</v>
      </c>
      <c r="M63" s="45">
        <f t="shared" si="20"/>
        <v>4919.495461699481</v>
      </c>
      <c r="N63" s="45">
        <f t="shared" si="20"/>
        <v>5067.0803255504652</v>
      </c>
      <c r="O63" s="45">
        <f t="shared" si="20"/>
        <v>5219.0927353169791</v>
      </c>
    </row>
    <row r="64" spans="1:16">
      <c r="D64" t="s">
        <v>32</v>
      </c>
      <c r="E64" s="38">
        <f t="shared" si="8"/>
        <v>6.4269051550389878E-3</v>
      </c>
      <c r="F64" s="57">
        <v>350</v>
      </c>
      <c r="G64" s="45">
        <f t="shared" si="13"/>
        <v>360.5</v>
      </c>
      <c r="H64" s="45">
        <f t="shared" ref="H64:O64" si="21">G64*(1+$E$72)</f>
        <v>371.315</v>
      </c>
      <c r="I64" s="45">
        <f t="shared" si="21"/>
        <v>382.45445000000001</v>
      </c>
      <c r="J64" s="45">
        <f t="shared" si="21"/>
        <v>393.92808350000001</v>
      </c>
      <c r="K64" s="45">
        <f t="shared" si="21"/>
        <v>405.745926005</v>
      </c>
      <c r="L64" s="45">
        <f t="shared" si="21"/>
        <v>417.91830378514999</v>
      </c>
      <c r="M64" s="45">
        <f t="shared" si="21"/>
        <v>430.45585289870451</v>
      </c>
      <c r="N64" s="45">
        <f t="shared" si="21"/>
        <v>443.36952848566563</v>
      </c>
      <c r="O64" s="45">
        <f t="shared" si="21"/>
        <v>456.6706143402356</v>
      </c>
    </row>
    <row r="65" spans="1:16">
      <c r="D65" t="s">
        <v>33</v>
      </c>
      <c r="E65" s="38">
        <f t="shared" si="8"/>
        <v>3.6725172314508503E-2</v>
      </c>
      <c r="F65" s="57">
        <v>2000</v>
      </c>
      <c r="G65" s="45">
        <f t="shared" si="13"/>
        <v>2060</v>
      </c>
      <c r="H65" s="45">
        <f t="shared" ref="H65:O65" si="22">G65*(1+$E$72)</f>
        <v>2121.8000000000002</v>
      </c>
      <c r="I65" s="45">
        <f t="shared" si="22"/>
        <v>2185.4540000000002</v>
      </c>
      <c r="J65" s="45">
        <f t="shared" si="22"/>
        <v>2251.0176200000001</v>
      </c>
      <c r="K65" s="45">
        <f t="shared" si="22"/>
        <v>2318.5481486000003</v>
      </c>
      <c r="L65" s="45">
        <f t="shared" si="22"/>
        <v>2388.1045930580003</v>
      </c>
      <c r="M65" s="45">
        <f t="shared" si="22"/>
        <v>2459.7477308497405</v>
      </c>
      <c r="N65" s="45">
        <f t="shared" si="22"/>
        <v>2533.5401627752326</v>
      </c>
      <c r="O65" s="45">
        <f t="shared" si="22"/>
        <v>2609.5463676584895</v>
      </c>
    </row>
    <row r="66" spans="1:16">
      <c r="D66" t="s">
        <v>34</v>
      </c>
      <c r="E66" s="38">
        <f t="shared" si="8"/>
        <v>3.6725172314508503E-2</v>
      </c>
      <c r="F66" s="57">
        <v>2000</v>
      </c>
      <c r="G66" s="45">
        <f t="shared" si="13"/>
        <v>2060</v>
      </c>
      <c r="H66" s="45">
        <f t="shared" ref="H66:O66" si="23">G66*(1+$E$72)</f>
        <v>2121.8000000000002</v>
      </c>
      <c r="I66" s="45">
        <f t="shared" si="23"/>
        <v>2185.4540000000002</v>
      </c>
      <c r="J66" s="45">
        <f t="shared" si="23"/>
        <v>2251.0176200000001</v>
      </c>
      <c r="K66" s="45">
        <f t="shared" si="23"/>
        <v>2318.5481486000003</v>
      </c>
      <c r="L66" s="45">
        <f t="shared" si="23"/>
        <v>2388.1045930580003</v>
      </c>
      <c r="M66" s="45">
        <f t="shared" si="23"/>
        <v>2459.7477308497405</v>
      </c>
      <c r="N66" s="45">
        <f t="shared" si="23"/>
        <v>2533.5401627752326</v>
      </c>
      <c r="O66" s="45">
        <f t="shared" si="23"/>
        <v>2609.5463676584895</v>
      </c>
    </row>
    <row r="67" spans="1:16">
      <c r="D67" t="s">
        <v>35</v>
      </c>
      <c r="E67" s="38">
        <f t="shared" si="8"/>
        <v>1.322106203322306E-2</v>
      </c>
      <c r="F67" s="57">
        <v>720</v>
      </c>
      <c r="G67" s="45">
        <f t="shared" si="13"/>
        <v>741.6</v>
      </c>
      <c r="H67" s="45">
        <f t="shared" ref="H67:O67" si="24">G67*(1+$E$72)</f>
        <v>763.84800000000007</v>
      </c>
      <c r="I67" s="45">
        <f t="shared" si="24"/>
        <v>786.76344000000006</v>
      </c>
      <c r="J67" s="45">
        <f t="shared" si="24"/>
        <v>810.36634320000007</v>
      </c>
      <c r="K67" s="45">
        <f t="shared" si="24"/>
        <v>834.67733349600007</v>
      </c>
      <c r="L67" s="45">
        <f t="shared" si="24"/>
        <v>859.71765350088015</v>
      </c>
      <c r="M67" s="45">
        <f t="shared" si="24"/>
        <v>885.50918310590657</v>
      </c>
      <c r="N67" s="45">
        <f t="shared" si="24"/>
        <v>912.07445859908375</v>
      </c>
      <c r="O67" s="45">
        <f t="shared" si="24"/>
        <v>939.43669235705624</v>
      </c>
    </row>
    <row r="68" spans="1:16">
      <c r="D68" t="s">
        <v>36</v>
      </c>
      <c r="E68" s="38">
        <f t="shared" si="8"/>
        <v>7.3450344629016999E-3</v>
      </c>
      <c r="F68" s="57">
        <v>400</v>
      </c>
      <c r="G68" s="45">
        <f t="shared" si="13"/>
        <v>412</v>
      </c>
      <c r="H68" s="45">
        <f t="shared" ref="H68:O68" si="25">G68*(1+$E$72)</f>
        <v>424.36</v>
      </c>
      <c r="I68" s="45">
        <f t="shared" si="25"/>
        <v>437.0908</v>
      </c>
      <c r="J68" s="45">
        <f t="shared" si="25"/>
        <v>450.20352400000002</v>
      </c>
      <c r="K68" s="45">
        <f t="shared" si="25"/>
        <v>463.70962972000001</v>
      </c>
      <c r="L68" s="45">
        <f t="shared" si="25"/>
        <v>477.62091861160002</v>
      </c>
      <c r="M68" s="45">
        <f t="shared" si="25"/>
        <v>491.94954616994801</v>
      </c>
      <c r="N68" s="45">
        <f t="shared" si="25"/>
        <v>506.70803255504649</v>
      </c>
      <c r="O68" s="45">
        <f t="shared" si="25"/>
        <v>521.90927353169786</v>
      </c>
    </row>
    <row r="69" spans="1:16">
      <c r="D69" s="7" t="s">
        <v>11</v>
      </c>
      <c r="E69" s="39">
        <f t="shared" si="8"/>
        <v>1</v>
      </c>
      <c r="F69" s="56">
        <f>SUM(F52:F68)</f>
        <v>54458.559999999998</v>
      </c>
      <c r="G69" s="49">
        <f t="shared" ref="G69:O69" si="26">SUM(G52:G68)</f>
        <v>58475.015999999996</v>
      </c>
      <c r="H69" s="49">
        <f t="shared" si="26"/>
        <v>60447.835599999999</v>
      </c>
      <c r="I69" s="49">
        <f t="shared" si="26"/>
        <v>62501.696699999986</v>
      </c>
      <c r="J69" s="49">
        <f t="shared" si="26"/>
        <v>64641.216236200002</v>
      </c>
      <c r="K69" s="49">
        <f t="shared" si="26"/>
        <v>66871.368222006</v>
      </c>
      <c r="L69" s="49">
        <f t="shared" si="26"/>
        <v>69197.516317258182</v>
      </c>
      <c r="M69" s="49">
        <f t="shared" si="26"/>
        <v>71625.449560227164</v>
      </c>
      <c r="N69" s="49">
        <f t="shared" si="26"/>
        <v>74161.421575830274</v>
      </c>
      <c r="O69" s="49">
        <f t="shared" si="26"/>
        <v>76812.193604781147</v>
      </c>
      <c r="P69" s="13"/>
    </row>
    <row r="70" spans="1:16">
      <c r="D70" s="8" t="s">
        <v>12</v>
      </c>
      <c r="F70" s="34">
        <f>F69</f>
        <v>54458.559999999998</v>
      </c>
      <c r="G70" s="37">
        <f t="shared" ref="G70:O70" si="27">G69</f>
        <v>58475.015999999996</v>
      </c>
      <c r="H70" s="37">
        <f t="shared" si="27"/>
        <v>60447.835599999999</v>
      </c>
      <c r="I70" s="37">
        <f t="shared" si="27"/>
        <v>62501.696699999986</v>
      </c>
      <c r="J70" s="37">
        <f t="shared" si="27"/>
        <v>64641.216236200002</v>
      </c>
      <c r="K70" s="37">
        <f t="shared" si="27"/>
        <v>66871.368222006</v>
      </c>
      <c r="L70" s="37">
        <f t="shared" si="27"/>
        <v>69197.516317258182</v>
      </c>
      <c r="M70" s="37">
        <f t="shared" si="27"/>
        <v>71625.449560227164</v>
      </c>
      <c r="N70" s="37">
        <f t="shared" si="27"/>
        <v>74161.421575830274</v>
      </c>
      <c r="O70" s="37">
        <f t="shared" si="27"/>
        <v>76812.193604781147</v>
      </c>
    </row>
    <row r="71" spans="1:16">
      <c r="D71" t="s">
        <v>98</v>
      </c>
    </row>
    <row r="72" spans="1:16">
      <c r="D72" t="s">
        <v>20</v>
      </c>
      <c r="E72" s="55">
        <v>0.03</v>
      </c>
    </row>
    <row r="73" spans="1:16">
      <c r="D73" t="s">
        <v>21</v>
      </c>
      <c r="E73" s="59">
        <v>0.1</v>
      </c>
    </row>
    <row r="76" spans="1:16">
      <c r="A76" s="23" t="s">
        <v>14</v>
      </c>
      <c r="B76" s="18"/>
      <c r="C76" s="18"/>
      <c r="D76" s="17" t="s">
        <v>2</v>
      </c>
      <c r="E76" s="16">
        <v>0</v>
      </c>
      <c r="F76" s="16">
        <v>1</v>
      </c>
      <c r="G76" s="16">
        <f>F76+1</f>
        <v>2</v>
      </c>
      <c r="H76" s="16">
        <f t="shared" ref="H76:O76" si="28">G76+1</f>
        <v>3</v>
      </c>
      <c r="I76" s="16">
        <f t="shared" si="28"/>
        <v>4</v>
      </c>
      <c r="J76" s="16">
        <f t="shared" si="28"/>
        <v>5</v>
      </c>
      <c r="K76" s="16">
        <f t="shared" si="28"/>
        <v>6</v>
      </c>
      <c r="L76" s="16">
        <f t="shared" si="28"/>
        <v>7</v>
      </c>
      <c r="M76" s="16">
        <f t="shared" si="28"/>
        <v>8</v>
      </c>
      <c r="N76" s="16">
        <f t="shared" si="28"/>
        <v>9</v>
      </c>
      <c r="O76" s="16">
        <f t="shared" si="28"/>
        <v>10</v>
      </c>
    </row>
    <row r="77" spans="1:16">
      <c r="A77" s="6" t="s">
        <v>37</v>
      </c>
      <c r="D77" s="6" t="s">
        <v>92</v>
      </c>
      <c r="F77" s="45">
        <f t="shared" ref="F77:O77" si="29">F18</f>
        <v>148332.06000000003</v>
      </c>
      <c r="G77" s="45">
        <f t="shared" si="29"/>
        <v>152782.02180000005</v>
      </c>
      <c r="H77" s="45">
        <f t="shared" si="29"/>
        <v>157365.48245400007</v>
      </c>
      <c r="I77" s="45">
        <f t="shared" si="29"/>
        <v>162086.44692762007</v>
      </c>
      <c r="J77" s="45">
        <f t="shared" si="29"/>
        <v>166949.04033544866</v>
      </c>
      <c r="K77" s="45">
        <f t="shared" si="29"/>
        <v>171957.51154551213</v>
      </c>
      <c r="L77" s="45">
        <f t="shared" si="29"/>
        <v>177116.23689187749</v>
      </c>
      <c r="M77" s="45">
        <f t="shared" si="29"/>
        <v>182429.7239986338</v>
      </c>
      <c r="N77" s="45">
        <f t="shared" si="29"/>
        <v>187902.61571859283</v>
      </c>
      <c r="O77" s="45">
        <f t="shared" si="29"/>
        <v>193539.69419015062</v>
      </c>
    </row>
    <row r="78" spans="1:16">
      <c r="A78" s="6" t="s">
        <v>38</v>
      </c>
      <c r="C78" t="s">
        <v>15</v>
      </c>
      <c r="D78" s="6" t="s">
        <v>16</v>
      </c>
      <c r="F78" s="46">
        <f>(-F70)</f>
        <v>-54458.559999999998</v>
      </c>
      <c r="G78" s="46">
        <f t="shared" ref="G78:O78" si="30">(-G70)</f>
        <v>-58475.015999999996</v>
      </c>
      <c r="H78" s="46">
        <f t="shared" si="30"/>
        <v>-60447.835599999999</v>
      </c>
      <c r="I78" s="46">
        <f t="shared" si="30"/>
        <v>-62501.696699999986</v>
      </c>
      <c r="J78" s="46">
        <f t="shared" si="30"/>
        <v>-64641.216236200002</v>
      </c>
      <c r="K78" s="46">
        <f t="shared" si="30"/>
        <v>-66871.368222006</v>
      </c>
      <c r="L78" s="46">
        <f t="shared" si="30"/>
        <v>-69197.516317258182</v>
      </c>
      <c r="M78" s="46">
        <f t="shared" si="30"/>
        <v>-71625.449560227164</v>
      </c>
      <c r="N78" s="46">
        <f t="shared" si="30"/>
        <v>-74161.421575830274</v>
      </c>
      <c r="O78" s="46">
        <f t="shared" si="30"/>
        <v>-76812.193604781147</v>
      </c>
    </row>
    <row r="79" spans="1:16">
      <c r="A79" s="12">
        <f>E36</f>
        <v>36133</v>
      </c>
      <c r="C79">
        <v>10</v>
      </c>
      <c r="D79" s="6" t="s">
        <v>15</v>
      </c>
      <c r="F79" s="46">
        <f t="shared" ref="F79:O79" si="31">(-$A$79/$C$79)</f>
        <v>-3613.3</v>
      </c>
      <c r="G79" s="46">
        <f t="shared" si="31"/>
        <v>-3613.3</v>
      </c>
      <c r="H79" s="46">
        <f t="shared" si="31"/>
        <v>-3613.3</v>
      </c>
      <c r="I79" s="46">
        <f t="shared" si="31"/>
        <v>-3613.3</v>
      </c>
      <c r="J79" s="46">
        <f t="shared" si="31"/>
        <v>-3613.3</v>
      </c>
      <c r="K79" s="46">
        <f t="shared" si="31"/>
        <v>-3613.3</v>
      </c>
      <c r="L79" s="46">
        <f t="shared" si="31"/>
        <v>-3613.3</v>
      </c>
      <c r="M79" s="46">
        <f t="shared" si="31"/>
        <v>-3613.3</v>
      </c>
      <c r="N79" s="46">
        <f t="shared" si="31"/>
        <v>-3613.3</v>
      </c>
      <c r="O79" s="46">
        <f t="shared" si="31"/>
        <v>-3613.3</v>
      </c>
    </row>
    <row r="80" spans="1:16">
      <c r="D80" s="6" t="s">
        <v>17</v>
      </c>
      <c r="F80" s="47">
        <f>F109</f>
        <v>-4011.4285714285716</v>
      </c>
      <c r="G80" s="47">
        <f t="shared" ref="G80:L80" si="32">G109</f>
        <v>-4011.4285714285716</v>
      </c>
      <c r="H80" s="47">
        <f t="shared" si="32"/>
        <v>-4011.4285714285716</v>
      </c>
      <c r="I80" s="47">
        <f t="shared" si="32"/>
        <v>-4011.4285714285716</v>
      </c>
      <c r="J80" s="47">
        <f t="shared" si="32"/>
        <v>-4011.4285714285716</v>
      </c>
      <c r="K80" s="47">
        <f t="shared" si="32"/>
        <v>-4011.4285714285716</v>
      </c>
      <c r="L80" s="47">
        <f t="shared" si="32"/>
        <v>-4011.4285714285716</v>
      </c>
      <c r="M80" s="48"/>
      <c r="N80" s="48"/>
      <c r="O80" s="48"/>
    </row>
    <row r="81" spans="1:15">
      <c r="D81" s="6" t="s">
        <v>93</v>
      </c>
      <c r="F81" s="82">
        <f t="shared" ref="F81:O81" si="33">F17</f>
        <v>132808.40639999998</v>
      </c>
      <c r="G81" s="82">
        <f t="shared" si="33"/>
        <v>136792.65859199999</v>
      </c>
      <c r="H81" s="82">
        <f t="shared" si="33"/>
        <v>140896.43834976002</v>
      </c>
      <c r="I81" s="82">
        <f t="shared" si="33"/>
        <v>145123.33150025283</v>
      </c>
      <c r="J81" s="82">
        <f t="shared" si="33"/>
        <v>149477.03144526042</v>
      </c>
      <c r="K81" s="82">
        <f t="shared" si="33"/>
        <v>153961.34238861824</v>
      </c>
      <c r="L81" s="82">
        <f t="shared" si="33"/>
        <v>158580.1826602768</v>
      </c>
      <c r="M81" s="83">
        <f t="shared" si="33"/>
        <v>163337.58814008508</v>
      </c>
      <c r="N81" s="83">
        <f t="shared" si="33"/>
        <v>168237.71578428766</v>
      </c>
      <c r="O81" s="83">
        <f t="shared" si="33"/>
        <v>173284.84725781629</v>
      </c>
    </row>
    <row r="82" spans="1:15">
      <c r="D82" s="8" t="s">
        <v>91</v>
      </c>
      <c r="F82" s="84">
        <f>SUM(F78:F81)</f>
        <v>70725.117828571412</v>
      </c>
      <c r="G82" s="84">
        <f>SUM(G78:G81)</f>
        <v>70692.914020571421</v>
      </c>
      <c r="H82" s="84">
        <f t="shared" ref="H82:O82" si="34">SUM(H78:H81)</f>
        <v>72823.874178331447</v>
      </c>
      <c r="I82" s="84">
        <f t="shared" si="34"/>
        <v>74996.906228824271</v>
      </c>
      <c r="J82" s="84">
        <f t="shared" si="34"/>
        <v>77211.086637631859</v>
      </c>
      <c r="K82" s="84">
        <f t="shared" si="34"/>
        <v>79465.245595183675</v>
      </c>
      <c r="L82" s="84">
        <f t="shared" si="34"/>
        <v>81757.937771590048</v>
      </c>
      <c r="M82" s="84">
        <f t="shared" si="34"/>
        <v>88098.838579857911</v>
      </c>
      <c r="N82" s="84">
        <f t="shared" si="34"/>
        <v>90462.994208457385</v>
      </c>
      <c r="O82" s="84">
        <f t="shared" si="34"/>
        <v>92859.353653035141</v>
      </c>
    </row>
    <row r="83" spans="1:15">
      <c r="D83" s="8" t="s">
        <v>119</v>
      </c>
      <c r="F83" s="44">
        <f t="shared" ref="F83:O83" si="35">SUM(F77:F80)</f>
        <v>86248.771428571461</v>
      </c>
      <c r="G83" s="37">
        <f t="shared" si="35"/>
        <v>86682.277228571475</v>
      </c>
      <c r="H83" s="37">
        <f t="shared" si="35"/>
        <v>89292.918282571511</v>
      </c>
      <c r="I83" s="37">
        <f t="shared" si="35"/>
        <v>91960.021656191515</v>
      </c>
      <c r="J83" s="37">
        <f t="shared" si="35"/>
        <v>94683.095527820085</v>
      </c>
      <c r="K83" s="37">
        <f t="shared" si="35"/>
        <v>97461.414752077559</v>
      </c>
      <c r="L83" s="37">
        <f t="shared" si="35"/>
        <v>100293.99200319074</v>
      </c>
      <c r="M83" s="37">
        <f t="shared" si="35"/>
        <v>107190.97443840663</v>
      </c>
      <c r="N83" s="37">
        <f t="shared" si="35"/>
        <v>110127.89414276255</v>
      </c>
      <c r="O83" s="37">
        <f t="shared" si="35"/>
        <v>113114.20058536947</v>
      </c>
    </row>
    <row r="84" spans="1:15">
      <c r="D84" s="8"/>
      <c r="F84" s="85"/>
      <c r="G84" s="86"/>
      <c r="H84" s="86"/>
      <c r="I84" s="86"/>
      <c r="J84" s="86"/>
      <c r="K84" s="86"/>
      <c r="L84" s="86"/>
      <c r="M84" s="86"/>
      <c r="N84" s="86"/>
      <c r="O84" s="86"/>
    </row>
    <row r="85" spans="1:15">
      <c r="D85" s="8"/>
      <c r="F85" s="85"/>
      <c r="G85" s="86"/>
      <c r="H85" s="86"/>
      <c r="I85" s="86"/>
      <c r="J85" s="86"/>
      <c r="K85" s="86"/>
      <c r="L85" s="86"/>
      <c r="M85" s="86"/>
      <c r="N85" s="86"/>
      <c r="O85" s="86"/>
    </row>
    <row r="86" spans="1:15">
      <c r="C86" s="10" t="s">
        <v>99</v>
      </c>
      <c r="D86" s="6" t="s">
        <v>96</v>
      </c>
      <c r="F86" s="85">
        <f>IF(F82&lt;0,0,F82*$C$89)</f>
        <v>17681.279457142853</v>
      </c>
      <c r="G86" s="86">
        <f>IF(G82&lt;0,0,G82*$C$89)</f>
        <v>17673.228505142855</v>
      </c>
      <c r="H86" s="86">
        <f t="shared" ref="H86:O86" si="36">IF(H82&lt;0,0,H82*$C$89)</f>
        <v>18205.968544582862</v>
      </c>
      <c r="I86" s="86">
        <f t="shared" si="36"/>
        <v>18749.226557206068</v>
      </c>
      <c r="J86" s="86">
        <f t="shared" si="36"/>
        <v>19302.771659407965</v>
      </c>
      <c r="K86" s="86">
        <f t="shared" si="36"/>
        <v>19866.311398795919</v>
      </c>
      <c r="L86" s="86">
        <f t="shared" si="36"/>
        <v>20439.484442897512</v>
      </c>
      <c r="M86" s="86">
        <f t="shared" si="36"/>
        <v>22024.709644964478</v>
      </c>
      <c r="N86" s="86">
        <f t="shared" si="36"/>
        <v>22615.748552114346</v>
      </c>
      <c r="O86" s="86">
        <f t="shared" si="36"/>
        <v>23214.838413258785</v>
      </c>
    </row>
    <row r="87" spans="1:15">
      <c r="D87" s="8" t="s">
        <v>94</v>
      </c>
      <c r="F87" s="85">
        <f>F82-F86</f>
        <v>53043.838371428559</v>
      </c>
      <c r="G87" s="86">
        <f>G82-G86</f>
        <v>53019.685515428566</v>
      </c>
      <c r="H87" s="86">
        <f t="shared" ref="H87:O87" si="37">H82-H86</f>
        <v>54617.905633748582</v>
      </c>
      <c r="I87" s="86">
        <f t="shared" si="37"/>
        <v>56247.6796716182</v>
      </c>
      <c r="J87" s="86">
        <f t="shared" si="37"/>
        <v>57908.314978223891</v>
      </c>
      <c r="K87" s="86">
        <f t="shared" si="37"/>
        <v>59598.934196387752</v>
      </c>
      <c r="L87" s="86">
        <f t="shared" si="37"/>
        <v>61318.453328692536</v>
      </c>
      <c r="M87" s="86">
        <f t="shared" si="37"/>
        <v>66074.128934893437</v>
      </c>
      <c r="N87" s="86">
        <f t="shared" si="37"/>
        <v>67847.245656343031</v>
      </c>
      <c r="O87" s="86">
        <f t="shared" si="37"/>
        <v>69644.51523977636</v>
      </c>
    </row>
    <row r="88" spans="1:15">
      <c r="C88" s="6" t="s">
        <v>99</v>
      </c>
    </row>
    <row r="89" spans="1:15">
      <c r="C89" s="90">
        <v>0.25</v>
      </c>
      <c r="D89" s="6" t="s">
        <v>97</v>
      </c>
      <c r="F89" s="45">
        <f>IF(F83&lt;0,0,F83*$C$89)</f>
        <v>21562.192857142865</v>
      </c>
      <c r="G89" s="45">
        <f t="shared" ref="G89:O89" si="38">IF(G83&lt;0,0,G83*$C$89)</f>
        <v>21670.569307142869</v>
      </c>
      <c r="H89" s="45">
        <f t="shared" si="38"/>
        <v>22323.229570642878</v>
      </c>
      <c r="I89" s="45">
        <f t="shared" si="38"/>
        <v>22990.005414047879</v>
      </c>
      <c r="J89" s="45">
        <f t="shared" si="38"/>
        <v>23670.773881955021</v>
      </c>
      <c r="K89" s="45">
        <f t="shared" si="38"/>
        <v>24365.35368801939</v>
      </c>
      <c r="L89" s="45">
        <f t="shared" si="38"/>
        <v>25073.498000797685</v>
      </c>
      <c r="M89" s="45">
        <f t="shared" si="38"/>
        <v>26797.743609601657</v>
      </c>
      <c r="N89" s="45">
        <f t="shared" si="38"/>
        <v>27531.973535690639</v>
      </c>
      <c r="O89" s="45">
        <f t="shared" si="38"/>
        <v>28278.550146342368</v>
      </c>
    </row>
    <row r="90" spans="1:15">
      <c r="D90" s="21" t="s">
        <v>120</v>
      </c>
      <c r="E90" s="22"/>
      <c r="F90" s="49">
        <f t="shared" ref="F90:O90" si="39">F83-F89</f>
        <v>64686.578571428596</v>
      </c>
      <c r="G90" s="49">
        <f t="shared" si="39"/>
        <v>65011.707921428606</v>
      </c>
      <c r="H90" s="49">
        <f t="shared" si="39"/>
        <v>66969.68871192864</v>
      </c>
      <c r="I90" s="49">
        <f t="shared" si="39"/>
        <v>68970.01624214364</v>
      </c>
      <c r="J90" s="49">
        <f t="shared" si="39"/>
        <v>71012.321645865071</v>
      </c>
      <c r="K90" s="49">
        <f t="shared" si="39"/>
        <v>73096.061064058173</v>
      </c>
      <c r="L90" s="49">
        <f t="shared" si="39"/>
        <v>75220.494002393054</v>
      </c>
      <c r="M90" s="49">
        <f t="shared" si="39"/>
        <v>80393.230828804968</v>
      </c>
      <c r="N90" s="49">
        <f t="shared" si="39"/>
        <v>82595.920607071923</v>
      </c>
      <c r="O90" s="49">
        <f t="shared" si="39"/>
        <v>84835.6504390271</v>
      </c>
    </row>
    <row r="91" spans="1:15">
      <c r="D91" s="6" t="s">
        <v>15</v>
      </c>
      <c r="F91" s="37">
        <f>F79</f>
        <v>-3613.3</v>
      </c>
      <c r="G91" s="37">
        <f t="shared" ref="G91:O91" si="40">G79</f>
        <v>-3613.3</v>
      </c>
      <c r="H91" s="37">
        <f t="shared" si="40"/>
        <v>-3613.3</v>
      </c>
      <c r="I91" s="37">
        <f t="shared" si="40"/>
        <v>-3613.3</v>
      </c>
      <c r="J91" s="37">
        <f t="shared" si="40"/>
        <v>-3613.3</v>
      </c>
      <c r="K91" s="37">
        <f t="shared" si="40"/>
        <v>-3613.3</v>
      </c>
      <c r="L91" s="37">
        <f t="shared" si="40"/>
        <v>-3613.3</v>
      </c>
      <c r="M91" s="37">
        <f t="shared" si="40"/>
        <v>-3613.3</v>
      </c>
      <c r="N91" s="37">
        <f t="shared" si="40"/>
        <v>-3613.3</v>
      </c>
      <c r="O91" s="37">
        <f t="shared" si="40"/>
        <v>-3613.3</v>
      </c>
    </row>
    <row r="92" spans="1:15">
      <c r="A92" s="87" t="s">
        <v>40</v>
      </c>
      <c r="B92" s="88"/>
      <c r="D92" s="6"/>
    </row>
    <row r="93" spans="1:15">
      <c r="A93" s="89"/>
      <c r="B93" s="89"/>
      <c r="C93" s="89"/>
      <c r="D93" s="8" t="s">
        <v>95</v>
      </c>
    </row>
    <row r="94" spans="1:15">
      <c r="A94" s="89"/>
      <c r="B94" s="89"/>
      <c r="C94" s="89"/>
      <c r="D94" s="6" t="s">
        <v>39</v>
      </c>
      <c r="F94" s="12">
        <f t="shared" ref="F94:O94" si="41">F87+F91+F110</f>
        <v>41686.66799690992</v>
      </c>
      <c r="G94" s="12">
        <f t="shared" si="41"/>
        <v>41662.51514090992</v>
      </c>
      <c r="H94" s="2">
        <f t="shared" si="41"/>
        <v>43260.735259229943</v>
      </c>
      <c r="I94" s="2">
        <f t="shared" si="41"/>
        <v>44890.509297099561</v>
      </c>
      <c r="J94" s="2">
        <f t="shared" si="41"/>
        <v>46551.144603705252</v>
      </c>
      <c r="K94" s="2">
        <f t="shared" si="41"/>
        <v>48241.763821869114</v>
      </c>
      <c r="L94" s="2">
        <f t="shared" si="41"/>
        <v>49961.28295417389</v>
      </c>
      <c r="M94" s="2">
        <f t="shared" si="41"/>
        <v>62460.828934893434</v>
      </c>
      <c r="N94" s="2">
        <f t="shared" si="41"/>
        <v>64233.945656343029</v>
      </c>
      <c r="O94" s="2">
        <f t="shared" si="41"/>
        <v>66031.215239776357</v>
      </c>
    </row>
    <row r="95" spans="1:15">
      <c r="A95" s="89"/>
      <c r="B95" s="89"/>
      <c r="C95" s="89"/>
      <c r="D95" s="6"/>
      <c r="F95" s="12"/>
      <c r="G95" s="12"/>
      <c r="H95" s="2"/>
      <c r="I95" s="2"/>
      <c r="J95" s="2"/>
      <c r="K95" s="2"/>
      <c r="L95" s="2"/>
      <c r="M95" s="2"/>
      <c r="N95" s="2"/>
      <c r="O95" s="2"/>
    </row>
    <row r="96" spans="1:15">
      <c r="A96" s="89"/>
      <c r="B96" s="89"/>
      <c r="C96" s="89"/>
      <c r="D96" s="21" t="s">
        <v>121</v>
      </c>
      <c r="E96" s="22"/>
      <c r="F96" s="22"/>
      <c r="G96" s="22"/>
      <c r="H96" s="22"/>
      <c r="I96" s="22"/>
      <c r="J96" s="22"/>
      <c r="K96" s="22"/>
      <c r="L96" s="22"/>
      <c r="M96" s="22"/>
      <c r="N96" s="22"/>
      <c r="O96" s="22"/>
    </row>
    <row r="97" spans="1:15">
      <c r="D97" s="6" t="s">
        <v>39</v>
      </c>
      <c r="F97" s="2">
        <f t="shared" ref="F97:O97" si="42">F90+F91+F110</f>
        <v>53329.40819690995</v>
      </c>
      <c r="G97" s="2">
        <f t="shared" si="42"/>
        <v>53654.537546909967</v>
      </c>
      <c r="H97" s="2">
        <f t="shared" si="42"/>
        <v>55612.518337410002</v>
      </c>
      <c r="I97" s="2">
        <f t="shared" si="42"/>
        <v>57612.845867625001</v>
      </c>
      <c r="J97" s="2">
        <f t="shared" si="42"/>
        <v>59655.151271346433</v>
      </c>
      <c r="K97" s="2">
        <f t="shared" si="42"/>
        <v>61738.890689539534</v>
      </c>
      <c r="L97" s="2">
        <f t="shared" si="42"/>
        <v>63863.323627874415</v>
      </c>
      <c r="M97" s="2">
        <f t="shared" si="42"/>
        <v>76779.930828804965</v>
      </c>
      <c r="N97" s="2">
        <f t="shared" si="42"/>
        <v>78982.62060707192</v>
      </c>
      <c r="O97" s="2">
        <f t="shared" si="42"/>
        <v>81222.350439027097</v>
      </c>
    </row>
    <row r="101" spans="1:15">
      <c r="A101" s="23" t="s">
        <v>43</v>
      </c>
      <c r="B101" s="18"/>
      <c r="C101" s="18"/>
      <c r="D101" s="17" t="s">
        <v>2</v>
      </c>
      <c r="E101" s="16">
        <v>0</v>
      </c>
      <c r="F101" s="16">
        <v>1</v>
      </c>
      <c r="G101" s="16">
        <f>F101+1</f>
        <v>2</v>
      </c>
      <c r="H101" s="16">
        <f t="shared" ref="H101" si="43">G101+1</f>
        <v>3</v>
      </c>
      <c r="I101" s="16">
        <f t="shared" ref="I101" si="44">H101+1</f>
        <v>4</v>
      </c>
      <c r="J101" s="16">
        <f t="shared" ref="J101" si="45">I101+1</f>
        <v>5</v>
      </c>
      <c r="K101" s="16">
        <f t="shared" ref="K101" si="46">J101+1</f>
        <v>6</v>
      </c>
      <c r="L101" s="16">
        <f t="shared" ref="L101" si="47">K101+1</f>
        <v>7</v>
      </c>
      <c r="M101" s="16">
        <f t="shared" ref="M101" si="48">L101+1</f>
        <v>8</v>
      </c>
      <c r="N101" s="16">
        <f t="shared" ref="N101" si="49">M101+1</f>
        <v>9</v>
      </c>
      <c r="O101" s="16">
        <f t="shared" ref="O101" si="50">N101+1</f>
        <v>10</v>
      </c>
    </row>
    <row r="102" spans="1:15">
      <c r="A102" s="6" t="s">
        <v>44</v>
      </c>
      <c r="D102" s="8" t="s">
        <v>41</v>
      </c>
      <c r="F102" s="27">
        <f>PV(0.01,84,SUM(F108:F109))</f>
        <v>908941.35941416083</v>
      </c>
      <c r="G102" s="27"/>
      <c r="H102" s="27"/>
      <c r="I102" s="27"/>
      <c r="J102" s="27"/>
      <c r="K102" s="27"/>
      <c r="L102" s="27"/>
    </row>
    <row r="103" spans="1:15">
      <c r="A103" s="6" t="s">
        <v>45</v>
      </c>
      <c r="D103" s="8" t="s">
        <v>42</v>
      </c>
      <c r="F103" s="27">
        <f>NPV(0.01,E46,F77,G77,H77,I77,J77,K77,L77,M77,N77,O77)</f>
        <v>1656377.6820089624</v>
      </c>
    </row>
    <row r="104" spans="1:15">
      <c r="A104" s="6" t="s">
        <v>46</v>
      </c>
      <c r="B104" s="31">
        <v>6.5000000000000002E-2</v>
      </c>
      <c r="D104" s="6" t="s">
        <v>72</v>
      </c>
    </row>
    <row r="105" spans="1:15">
      <c r="A105" s="28" t="s">
        <v>49</v>
      </c>
      <c r="B105" s="52">
        <v>7</v>
      </c>
    </row>
    <row r="106" spans="1:15">
      <c r="A106" s="6" t="s">
        <v>48</v>
      </c>
      <c r="B106" s="51">
        <v>7</v>
      </c>
      <c r="C106" s="18"/>
      <c r="D106" s="17" t="s">
        <v>2</v>
      </c>
      <c r="E106" s="16">
        <v>0</v>
      </c>
      <c r="F106" s="16">
        <v>1</v>
      </c>
      <c r="G106" s="16">
        <f>F106+1</f>
        <v>2</v>
      </c>
      <c r="H106" s="16">
        <f t="shared" ref="H106" si="51">G106+1</f>
        <v>3</v>
      </c>
      <c r="I106" s="16">
        <f t="shared" ref="I106" si="52">H106+1</f>
        <v>4</v>
      </c>
      <c r="J106" s="16">
        <f t="shared" ref="J106" si="53">I106+1</f>
        <v>5</v>
      </c>
      <c r="K106" s="16">
        <f t="shared" ref="K106" si="54">J106+1</f>
        <v>6</v>
      </c>
      <c r="L106" s="16">
        <f t="shared" ref="L106" si="55">K106+1</f>
        <v>7</v>
      </c>
      <c r="M106" s="16">
        <f t="shared" ref="M106" si="56">L106+1</f>
        <v>8</v>
      </c>
      <c r="N106" s="16">
        <f t="shared" ref="N106" si="57">M106+1</f>
        <v>9</v>
      </c>
      <c r="O106" s="16">
        <f t="shared" ref="O106" si="58">N106+1</f>
        <v>10</v>
      </c>
    </row>
    <row r="107" spans="1:15">
      <c r="A107" s="24" t="s">
        <v>50</v>
      </c>
      <c r="E107" s="50">
        <v>66000</v>
      </c>
    </row>
    <row r="108" spans="1:15">
      <c r="F108" s="27">
        <f t="shared" ref="F108:L108" si="59">PMT(0.065,7,66000)</f>
        <v>-12033.870374518639</v>
      </c>
      <c r="G108" s="27">
        <f t="shared" si="59"/>
        <v>-12033.870374518639</v>
      </c>
      <c r="H108" s="27">
        <f t="shared" si="59"/>
        <v>-12033.870374518639</v>
      </c>
      <c r="I108" s="27">
        <f t="shared" si="59"/>
        <v>-12033.870374518639</v>
      </c>
      <c r="J108" s="27">
        <f t="shared" si="59"/>
        <v>-12033.870374518639</v>
      </c>
      <c r="K108" s="27">
        <f t="shared" si="59"/>
        <v>-12033.870374518639</v>
      </c>
      <c r="L108" s="27">
        <f t="shared" si="59"/>
        <v>-12033.870374518639</v>
      </c>
    </row>
    <row r="109" spans="1:15">
      <c r="F109" s="26">
        <f>ISPMT(0.065,1,7,72000)</f>
        <v>-4011.4285714285716</v>
      </c>
      <c r="G109" s="26">
        <f t="shared" ref="G109:L109" si="60">ISPMT(0.065,1,7,72000)</f>
        <v>-4011.4285714285716</v>
      </c>
      <c r="H109" s="26">
        <f t="shared" si="60"/>
        <v>-4011.4285714285716</v>
      </c>
      <c r="I109" s="26">
        <f t="shared" si="60"/>
        <v>-4011.4285714285716</v>
      </c>
      <c r="J109" s="26">
        <f t="shared" si="60"/>
        <v>-4011.4285714285716</v>
      </c>
      <c r="K109" s="26">
        <f t="shared" si="60"/>
        <v>-4011.4285714285716</v>
      </c>
      <c r="L109" s="26">
        <f t="shared" si="60"/>
        <v>-4011.4285714285716</v>
      </c>
    </row>
    <row r="110" spans="1:15">
      <c r="C110" s="22"/>
      <c r="D110" s="22"/>
      <c r="E110" s="22"/>
      <c r="F110" s="29">
        <f t="shared" ref="F110:L110" si="61">PPMT(0.065,1,7,66000)</f>
        <v>-7743.8703745186394</v>
      </c>
      <c r="G110" s="29">
        <f t="shared" si="61"/>
        <v>-7743.8703745186394</v>
      </c>
      <c r="H110" s="29">
        <f t="shared" si="61"/>
        <v>-7743.8703745186394</v>
      </c>
      <c r="I110" s="29">
        <f t="shared" si="61"/>
        <v>-7743.8703745186394</v>
      </c>
      <c r="J110" s="29">
        <f t="shared" si="61"/>
        <v>-7743.8703745186394</v>
      </c>
      <c r="K110" s="29">
        <f t="shared" si="61"/>
        <v>-7743.8703745186394</v>
      </c>
      <c r="L110" s="29">
        <f t="shared" si="61"/>
        <v>-7743.8703745186394</v>
      </c>
      <c r="M110" s="22"/>
      <c r="N110" s="22"/>
      <c r="O110" s="22"/>
    </row>
    <row r="111" spans="1:15">
      <c r="C111" t="s">
        <v>47</v>
      </c>
    </row>
  </sheetData>
  <pageMargins left="0.25" right="0.25" top="0.75" bottom="0.75" header="0.3" footer="0.3"/>
  <pageSetup scale="67"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Greenhouse 1</vt:lpstr>
      <vt:lpstr>CycleTime</vt:lpstr>
      <vt:lpstr>Pack_Percentage</vt:lpstr>
      <vt:lpstr>PlantsPerSqFt</vt:lpstr>
      <vt:lpstr>'Greenhouse 1'!Print_Area</vt:lpstr>
      <vt:lpstr>ProdPerHole</vt:lpstr>
      <vt:lpstr>RaftAreaSf</vt:lpstr>
      <vt:lpstr>WeeksofProd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dc:creator>
  <cp:lastModifiedBy>Tim Mann</cp:lastModifiedBy>
  <cp:lastPrinted>2013-01-26T01:31:33Z</cp:lastPrinted>
  <dcterms:created xsi:type="dcterms:W3CDTF">2013-01-24T18:06:52Z</dcterms:created>
  <dcterms:modified xsi:type="dcterms:W3CDTF">2014-05-31T22:58:35Z</dcterms:modified>
</cp:coreProperties>
</file>